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Economic model" sheetId="1" r:id="rId1"/>
  </sheets>
  <calcPr calcId="145621"/>
</workbook>
</file>

<file path=xl/calcChain.xml><?xml version="1.0" encoding="utf-8"?>
<calcChain xmlns="http://schemas.openxmlformats.org/spreadsheetml/2006/main">
  <c r="C89" i="1" l="1"/>
  <c r="E58" i="1"/>
  <c r="E67" i="1" s="1"/>
  <c r="D58" i="1"/>
  <c r="D40" i="1"/>
  <c r="C64" i="1" l="1"/>
  <c r="D9" i="1"/>
  <c r="E9" i="1"/>
  <c r="C9" i="1"/>
  <c r="D25" i="1"/>
  <c r="C25" i="1"/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D10" i="1"/>
  <c r="D94" i="1" s="1"/>
  <c r="C10" i="1"/>
  <c r="C94" i="1" s="1"/>
  <c r="D11" i="1"/>
  <c r="C40" i="1"/>
  <c r="C11" i="1" s="1"/>
  <c r="E83" i="1"/>
  <c r="D83" i="1"/>
  <c r="E84" i="1"/>
  <c r="D84" i="1"/>
  <c r="C85" i="1"/>
  <c r="C86" i="1"/>
  <c r="C87" i="1"/>
  <c r="E37" i="1"/>
  <c r="E10" i="1" s="1"/>
  <c r="D67" i="1"/>
  <c r="D85" i="1" s="1"/>
  <c r="E29" i="1"/>
  <c r="C66" i="1"/>
  <c r="C84" i="1" s="1"/>
  <c r="E85" i="1" l="1"/>
  <c r="E25" i="1"/>
  <c r="E40" i="1" s="1"/>
  <c r="E11" i="1" s="1"/>
  <c r="C65" i="1"/>
  <c r="C83" i="1" s="1"/>
  <c r="E64" i="1"/>
  <c r="E82" i="1" s="1"/>
  <c r="E94" i="1"/>
  <c r="E69" i="1"/>
  <c r="E87" i="1" s="1"/>
  <c r="C82" i="1"/>
  <c r="D69" i="1"/>
  <c r="D87" i="1" s="1"/>
  <c r="D68" i="1"/>
  <c r="D86" i="1" s="1"/>
  <c r="D64" i="1"/>
  <c r="D82" i="1" s="1"/>
  <c r="E68" i="1"/>
  <c r="E86" i="1" s="1"/>
  <c r="D88" i="1" l="1"/>
  <c r="C88" i="1"/>
  <c r="C12" i="1" s="1"/>
  <c r="C14" i="1" s="1"/>
  <c r="C95" i="1" s="1"/>
  <c r="C96" i="1" s="1"/>
  <c r="C97" i="1" s="1"/>
  <c r="C98" i="1" s="1"/>
  <c r="E88" i="1"/>
  <c r="E12" i="1" l="1"/>
  <c r="E1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89" i="1"/>
  <c r="D12" i="1"/>
  <c r="D1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89" i="1"/>
  <c r="C99" i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6" i="1"/>
  <c r="C19" i="1" s="1"/>
  <c r="E115" i="1"/>
  <c r="E18" i="1" s="1"/>
  <c r="D116" i="1"/>
  <c r="D19" i="1" s="1"/>
  <c r="E116" i="1"/>
  <c r="E19" i="1" s="1"/>
  <c r="C115" i="1"/>
  <c r="C18" i="1" s="1"/>
  <c r="D115" i="1"/>
  <c r="D18" i="1" s="1"/>
</calcChain>
</file>

<file path=xl/comments1.xml><?xml version="1.0" encoding="utf-8"?>
<comments xmlns="http://schemas.openxmlformats.org/spreadsheetml/2006/main">
  <authors>
    <author>Roelof-Jan Molemaker</author>
  </authors>
  <commentList>
    <comment ref="C29" authorId="0">
      <text>
        <r>
          <rPr>
            <b/>
            <sz val="9"/>
            <color indexed="81"/>
            <rFont val="Tahoma"/>
            <family val="2"/>
          </rPr>
          <t>Roelof-Jan Molemaker:</t>
        </r>
        <r>
          <rPr>
            <sz val="9"/>
            <color indexed="81"/>
            <rFont val="Tahoma"/>
            <family val="2"/>
          </rPr>
          <t xml:space="preserve">
Masuda (0.87 percent)</t>
        </r>
      </text>
    </comment>
    <comment ref="D29" authorId="0">
      <text>
        <r>
          <rPr>
            <b/>
            <sz val="9"/>
            <color indexed="81"/>
            <rFont val="Tahoma"/>
            <charset val="1"/>
          </rPr>
          <t>Roelof-Jan Molemaker:</t>
        </r>
        <r>
          <rPr>
            <sz val="9"/>
            <color indexed="81"/>
            <rFont val="Tahoma"/>
            <charset val="1"/>
          </rPr>
          <t xml:space="preserve">
average based on Andrews, Hillman &amp; Gosling, Charles, Soreide, Yamazaki, LRET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Roelof-Jan Molemaker:</t>
        </r>
        <r>
          <rPr>
            <sz val="9"/>
            <color indexed="81"/>
            <rFont val="Tahoma"/>
            <family val="2"/>
          </rPr>
          <t xml:space="preserve">
Based on Yamazaki</t>
        </r>
      </text>
    </comment>
    <comment ref="E39" authorId="0">
      <text>
        <r>
          <rPr>
            <b/>
            <sz val="9"/>
            <color indexed="81"/>
            <rFont val="Tahoma"/>
            <charset val="1"/>
          </rPr>
          <t>Roelof-Jan Molemaker:</t>
        </r>
        <r>
          <rPr>
            <sz val="9"/>
            <color indexed="81"/>
            <rFont val="Tahoma"/>
            <charset val="1"/>
          </rPr>
          <t xml:space="preserve">
12,5% higher than nodules (45% in absolute value but 40% production volume)</t>
        </r>
      </text>
    </comment>
  </commentList>
</comments>
</file>

<file path=xl/sharedStrings.xml><?xml version="1.0" encoding="utf-8"?>
<sst xmlns="http://schemas.openxmlformats.org/spreadsheetml/2006/main" count="108" uniqueCount="48">
  <si>
    <t>Cockpit</t>
  </si>
  <si>
    <t>Outcomes</t>
  </si>
  <si>
    <t>NPV</t>
  </si>
  <si>
    <t>Compostion Ocean Resources</t>
  </si>
  <si>
    <t>Polymetallic Sulphides</t>
  </si>
  <si>
    <t>Cobalt-rich crusts</t>
  </si>
  <si>
    <t>Polymetallic Nodules</t>
  </si>
  <si>
    <t>Cobalt-rich Crusts</t>
  </si>
  <si>
    <t>Quantity of metals</t>
  </si>
  <si>
    <t>Wet/dry</t>
  </si>
  <si>
    <t>Copper (Cu)</t>
  </si>
  <si>
    <t>Nickel (Ni)</t>
  </si>
  <si>
    <t>Cobalt (Co)</t>
  </si>
  <si>
    <t>Capital investment</t>
  </si>
  <si>
    <t>tonnes</t>
  </si>
  <si>
    <t>$/tonne</t>
  </si>
  <si>
    <t>Costs</t>
  </si>
  <si>
    <t>Revenues</t>
  </si>
  <si>
    <t>Composition (dry volume)</t>
  </si>
  <si>
    <t>Production volume wet</t>
  </si>
  <si>
    <t>Production volume dry</t>
  </si>
  <si>
    <t xml:space="preserve">Production volume - wet </t>
  </si>
  <si>
    <t xml:space="preserve">Production volume - dry </t>
  </si>
  <si>
    <t xml:space="preserve">Capital investment </t>
  </si>
  <si>
    <t>Gold (Au)</t>
  </si>
  <si>
    <t>Silver (Ag)</t>
  </si>
  <si>
    <t>Manganese (Mn)</t>
  </si>
  <si>
    <t>gram/tonne</t>
  </si>
  <si>
    <t>Recovery rate</t>
  </si>
  <si>
    <t>Market prices</t>
  </si>
  <si>
    <t>Total</t>
  </si>
  <si>
    <t>Operational costs (per tonne)</t>
  </si>
  <si>
    <t>Operational costs (total)</t>
  </si>
  <si>
    <t>$/ annum</t>
  </si>
  <si>
    <t>Operational expenditure (annum)</t>
  </si>
  <si>
    <t>Revenue (annum)</t>
  </si>
  <si>
    <t xml:space="preserve">Year of operation </t>
  </si>
  <si>
    <t>Yearly result</t>
  </si>
  <si>
    <t>Year</t>
  </si>
  <si>
    <t>IRR</t>
  </si>
  <si>
    <t>IRR lifetime (without financing)</t>
  </si>
  <si>
    <t>Exploration</t>
  </si>
  <si>
    <t>Production volume (dry/ annum)</t>
  </si>
  <si>
    <t>Revenues per annum</t>
  </si>
  <si>
    <t>Total amount (dry tonnes per annum)</t>
  </si>
  <si>
    <t>0=excluded; 1=included</t>
  </si>
  <si>
    <t>manganese</t>
  </si>
  <si>
    <t>revenu per 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</si>
</sst>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General_)"/>
    <numFmt numFmtId="165" formatCode="_-[$$-409]* #,##0_ ;_-[$$-409]* \-#,##0\ ;_-[$$-409]* &quot;-&quot;??_ ;_-@_ "/>
    <numFmt numFmtId="166" formatCode="_ * #,##0.0_ ;_ * \-#,##0.0_ ;_ * &quot;-&quot;??_ ;_ @_ "/>
    <numFmt numFmtId="167" formatCode="_ * #,##0_ ;_ * \-#,##0_ ;_ * &quot;-&quot;??_ ;_ @_ "/>
    <numFmt numFmtId="168" formatCode="_ &quot;€&quot;\ * #,##0_ ;_ &quot;€&quot;\ * \-#,##0_ ;_ &quot;€&quot;\ * &quot;-&quot;??_ ;_ @_ "/>
    <numFmt numFmtId="169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12"/>
      <name val="Helv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3"/>
      <name val="Arial"/>
      <family val="2"/>
    </font>
    <font>
      <sz val="11"/>
      <color theme="3"/>
      <name val="Calibri"/>
      <family val="2"/>
      <scheme val="minor"/>
    </font>
    <font>
      <sz val="9"/>
      <color theme="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</cellStyleXfs>
  <cellXfs count="34">
    <xf numFmtId="0" fontId="0" fillId="0" borderId="0" xfId="0"/>
    <xf numFmtId="0" fontId="0" fillId="4" borderId="0" xfId="0" applyFill="1"/>
    <xf numFmtId="0" fontId="2" fillId="2" borderId="0" xfId="0" applyFont="1" applyFill="1"/>
    <xf numFmtId="0" fontId="3" fillId="4" borderId="0" xfId="0" applyFont="1" applyFill="1"/>
    <xf numFmtId="0" fontId="4" fillId="2" borderId="0" xfId="0" applyFont="1" applyFill="1"/>
    <xf numFmtId="164" fontId="6" fillId="3" borderId="1" xfId="4" applyFont="1" applyFill="1" applyBorder="1"/>
    <xf numFmtId="9" fontId="7" fillId="3" borderId="1" xfId="0" applyNumberFormat="1" applyFont="1" applyFill="1" applyBorder="1"/>
    <xf numFmtId="49" fontId="6" fillId="3" borderId="1" xfId="4" applyNumberFormat="1" applyFont="1" applyFill="1" applyBorder="1"/>
    <xf numFmtId="165" fontId="7" fillId="3" borderId="1" xfId="0" applyNumberFormat="1" applyFont="1" applyFill="1" applyBorder="1"/>
    <xf numFmtId="166" fontId="7" fillId="3" borderId="1" xfId="1" applyNumberFormat="1" applyFont="1" applyFill="1" applyBorder="1"/>
    <xf numFmtId="167" fontId="7" fillId="3" borderId="1" xfId="1" applyNumberFormat="1" applyFont="1" applyFill="1" applyBorder="1"/>
    <xf numFmtId="9" fontId="6" fillId="3" borderId="1" xfId="3" applyFont="1" applyFill="1" applyBorder="1"/>
    <xf numFmtId="9" fontId="7" fillId="3" borderId="1" xfId="3" applyFont="1" applyFill="1" applyBorder="1"/>
    <xf numFmtId="167" fontId="6" fillId="3" borderId="1" xfId="1" applyNumberFormat="1" applyFont="1" applyFill="1" applyBorder="1"/>
    <xf numFmtId="0" fontId="7" fillId="3" borderId="1" xfId="1" applyNumberFormat="1" applyFont="1" applyFill="1" applyBorder="1"/>
    <xf numFmtId="165" fontId="7" fillId="3" borderId="1" xfId="1" applyNumberFormat="1" applyFont="1" applyFill="1" applyBorder="1"/>
    <xf numFmtId="165" fontId="6" fillId="3" borderId="1" xfId="1" applyNumberFormat="1" applyFont="1" applyFill="1" applyBorder="1"/>
    <xf numFmtId="168" fontId="6" fillId="3" borderId="1" xfId="2" applyNumberFormat="1" applyFont="1" applyFill="1" applyBorder="1"/>
    <xf numFmtId="165" fontId="6" fillId="3" borderId="1" xfId="3" applyNumberFormat="1" applyFont="1" applyFill="1" applyBorder="1"/>
    <xf numFmtId="0" fontId="10" fillId="4" borderId="0" xfId="0" applyFont="1" applyFill="1"/>
    <xf numFmtId="165" fontId="7" fillId="3" borderId="1" xfId="2" applyNumberFormat="1" applyFont="1" applyFill="1" applyBorder="1"/>
    <xf numFmtId="0" fontId="11" fillId="2" borderId="0" xfId="0" applyFont="1" applyFill="1"/>
    <xf numFmtId="0" fontId="7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4" borderId="0" xfId="0" applyFont="1" applyFill="1"/>
    <xf numFmtId="0" fontId="12" fillId="4" borderId="0" xfId="0" applyFont="1" applyFill="1"/>
    <xf numFmtId="0" fontId="13" fillId="4" borderId="0" xfId="0" applyFont="1" applyFill="1"/>
    <xf numFmtId="169" fontId="7" fillId="3" borderId="1" xfId="3" applyNumberFormat="1" applyFont="1" applyFill="1" applyBorder="1"/>
    <xf numFmtId="10" fontId="7" fillId="3" borderId="1" xfId="3" applyNumberFormat="1" applyFont="1" applyFill="1" applyBorder="1"/>
    <xf numFmtId="167" fontId="7" fillId="4" borderId="1" xfId="1" applyNumberFormat="1" applyFont="1" applyFill="1" applyBorder="1"/>
    <xf numFmtId="165" fontId="7" fillId="4" borderId="1" xfId="2" applyNumberFormat="1" applyFont="1" applyFill="1" applyBorder="1"/>
    <xf numFmtId="0" fontId="12" fillId="4" borderId="0" xfId="0" applyFont="1" applyFill="1" applyAlignment="1">
      <alignment horizontal="left"/>
    </xf>
    <xf numFmtId="9" fontId="7" fillId="5" borderId="1" xfId="3" applyFont="1" applyFill="1" applyBorder="1"/>
  </cellXfs>
  <cellStyles count="5">
    <cellStyle name="Comma" xfId="1" builtinId="3"/>
    <cellStyle name="Currency" xfId="2" builtinId="4"/>
    <cellStyle name="Normal" xfId="0" builtinId="0"/>
    <cellStyle name="Percent" xfId="3" builtinId="5"/>
    <cellStyle name="Standaard_cash flow format OR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26"/>
  <sheetViews>
    <sheetView tabSelected="1" workbookViewId="0">
      <pane ySplit="20" topLeftCell="A21" activePane="bottomLeft" state="frozen"/>
      <selection pane="bottomLeft" activeCell="C1" sqref="C1"/>
    </sheetView>
  </sheetViews>
  <sheetFormatPr defaultColWidth="0" defaultRowHeight="11.25" customHeight="1" zeroHeight="1" x14ac:dyDescent="0.25"/>
  <cols>
    <col min="1" max="1" width="3.28515625" style="1" customWidth="1"/>
    <col min="2" max="2" width="31.42578125" style="26" customWidth="1"/>
    <col min="3" max="3" width="21.7109375" style="26" bestFit="1" customWidth="1"/>
    <col min="4" max="4" width="17.85546875" style="26" bestFit="1" customWidth="1"/>
    <col min="5" max="5" width="17.7109375" style="26" bestFit="1" customWidth="1"/>
    <col min="6" max="7" width="9.140625" style="26" customWidth="1"/>
    <col min="8" max="25" width="0" style="1" hidden="1" customWidth="1"/>
    <col min="26" max="26" width="0" style="1" hidden="1"/>
    <col min="27" max="16384" width="9.140625" style="1" hidden="1"/>
  </cols>
  <sheetData>
    <row r="1" spans="1:7" ht="11.25" customHeight="1" x14ac:dyDescent="0.25">
      <c r="B1" s="26" t="s">
        <v>46</v>
      </c>
      <c r="C1" s="26">
        <v>0</v>
      </c>
      <c r="D1" s="26" t="s">
        <v>45</v>
      </c>
    </row>
    <row r="2" spans="1:7" ht="11.25" customHeight="1" x14ac:dyDescent="0.25"/>
    <row r="3" spans="1:7" ht="11.25" customHeight="1" x14ac:dyDescent="0.25">
      <c r="B3" s="32"/>
    </row>
    <row r="4" spans="1:7" s="2" customFormat="1" ht="21" customHeight="1" x14ac:dyDescent="0.25">
      <c r="A4" s="2" t="s">
        <v>0</v>
      </c>
      <c r="B4" s="21"/>
      <c r="C4" s="21"/>
      <c r="D4" s="21"/>
      <c r="E4" s="21"/>
      <c r="F4" s="21"/>
      <c r="G4" s="21"/>
    </row>
    <row r="5" spans="1:7" s="3" customFormat="1" ht="11.25" customHeight="1" x14ac:dyDescent="0.2">
      <c r="B5" s="22"/>
      <c r="C5" s="22"/>
      <c r="D5" s="22"/>
      <c r="E5" s="22"/>
      <c r="F5" s="22"/>
      <c r="G5" s="22"/>
    </row>
    <row r="6" spans="1:7" s="4" customFormat="1" ht="11.25" customHeight="1" x14ac:dyDescent="0.2">
      <c r="B6" s="23" t="s">
        <v>1</v>
      </c>
      <c r="C6" s="24"/>
      <c r="D6" s="24"/>
      <c r="E6" s="24"/>
      <c r="F6" s="24"/>
      <c r="G6" s="24"/>
    </row>
    <row r="7" spans="1:7" s="3" customFormat="1" ht="11.25" customHeight="1" x14ac:dyDescent="0.2">
      <c r="B7" s="22"/>
      <c r="C7" s="22"/>
      <c r="D7" s="22"/>
      <c r="E7" s="22"/>
      <c r="F7" s="22"/>
      <c r="G7" s="22"/>
    </row>
    <row r="8" spans="1:7" s="3" customFormat="1" ht="11.25" customHeight="1" x14ac:dyDescent="0.2">
      <c r="B8" s="22"/>
      <c r="C8" s="25" t="s">
        <v>4</v>
      </c>
      <c r="D8" s="25" t="s">
        <v>6</v>
      </c>
      <c r="E8" s="25" t="s">
        <v>5</v>
      </c>
      <c r="F8" s="22"/>
      <c r="G8" s="22"/>
    </row>
    <row r="9" spans="1:7" s="3" customFormat="1" ht="11.25" customHeight="1" x14ac:dyDescent="0.2">
      <c r="B9" s="13" t="s">
        <v>42</v>
      </c>
      <c r="C9" s="30">
        <f>+C32</f>
        <v>1300000</v>
      </c>
      <c r="D9" s="30">
        <f>+D32</f>
        <v>2000000</v>
      </c>
      <c r="E9" s="30">
        <f>+E32</f>
        <v>800000</v>
      </c>
      <c r="F9" s="22"/>
      <c r="G9" s="22"/>
    </row>
    <row r="10" spans="1:7" s="3" customFormat="1" ht="11.25" customHeight="1" x14ac:dyDescent="0.2">
      <c r="B10" s="13" t="s">
        <v>13</v>
      </c>
      <c r="C10" s="15">
        <f>C37*-1</f>
        <v>-1000000000</v>
      </c>
      <c r="D10" s="15">
        <f>D37*-1</f>
        <v>-1200000000</v>
      </c>
      <c r="E10" s="15">
        <f>E37*-1</f>
        <v>-600000000</v>
      </c>
      <c r="F10" s="22"/>
      <c r="G10" s="22"/>
    </row>
    <row r="11" spans="1:7" s="3" customFormat="1" ht="11.25" customHeight="1" x14ac:dyDescent="0.2">
      <c r="B11" s="13" t="s">
        <v>34</v>
      </c>
      <c r="C11" s="15">
        <f>C40*-1</f>
        <v>-254022988.50574714</v>
      </c>
      <c r="D11" s="15">
        <f>D40*-1</f>
        <v>-538461538.46153843</v>
      </c>
      <c r="E11" s="15">
        <f>E40*-1</f>
        <v>-288709648.31555963</v>
      </c>
      <c r="F11" s="22"/>
      <c r="G11" s="22"/>
    </row>
    <row r="12" spans="1:7" s="3" customFormat="1" ht="11.25" customHeight="1" x14ac:dyDescent="0.2">
      <c r="B12" s="13" t="s">
        <v>35</v>
      </c>
      <c r="C12" s="15">
        <f>C88</f>
        <v>933140000</v>
      </c>
      <c r="D12" s="15">
        <f t="shared" ref="D12" si="0">D88</f>
        <v>611210000</v>
      </c>
      <c r="E12" s="15">
        <f>E88</f>
        <v>172716000</v>
      </c>
      <c r="F12" s="22"/>
      <c r="G12" s="22"/>
    </row>
    <row r="13" spans="1:7" s="3" customFormat="1" ht="11.25" customHeight="1" x14ac:dyDescent="0.2">
      <c r="B13" s="13" t="s">
        <v>36</v>
      </c>
      <c r="C13" s="10">
        <v>15</v>
      </c>
      <c r="D13" s="10">
        <v>20</v>
      </c>
      <c r="E13" s="10">
        <v>20</v>
      </c>
      <c r="F13" s="22"/>
      <c r="G13" s="22"/>
    </row>
    <row r="14" spans="1:7" s="3" customFormat="1" ht="11.25" customHeight="1" x14ac:dyDescent="0.2">
      <c r="B14" s="13" t="s">
        <v>37</v>
      </c>
      <c r="C14" s="15">
        <f>C12+C11</f>
        <v>679117011.49425292</v>
      </c>
      <c r="D14" s="15">
        <f t="shared" ref="D14" si="1">D12+D11</f>
        <v>72748461.538461566</v>
      </c>
      <c r="E14" s="15">
        <f>E12+E11</f>
        <v>-115993648.31555963</v>
      </c>
      <c r="F14" s="22"/>
      <c r="G14" s="22"/>
    </row>
    <row r="15" spans="1:7" s="3" customFormat="1" ht="11.25" customHeight="1" x14ac:dyDescent="0.2">
      <c r="B15" s="22"/>
      <c r="C15" s="22"/>
      <c r="D15" s="22"/>
      <c r="E15" s="22"/>
      <c r="F15" s="22"/>
      <c r="G15" s="22"/>
    </row>
    <row r="16" spans="1:7" s="3" customFormat="1" ht="11.25" customHeight="1" x14ac:dyDescent="0.2">
      <c r="B16" s="22"/>
      <c r="C16" s="22"/>
      <c r="D16" s="22"/>
      <c r="E16" s="22"/>
      <c r="F16" s="22"/>
      <c r="G16" s="22"/>
    </row>
    <row r="17" spans="2:7" s="3" customFormat="1" ht="11.25" customHeight="1" x14ac:dyDescent="0.2">
      <c r="B17" s="22"/>
      <c r="C17" s="25" t="s">
        <v>4</v>
      </c>
      <c r="D17" s="25" t="s">
        <v>6</v>
      </c>
      <c r="E17" s="25" t="s">
        <v>5</v>
      </c>
      <c r="F17" s="22"/>
      <c r="G17" s="22"/>
    </row>
    <row r="18" spans="2:7" s="3" customFormat="1" ht="11.25" customHeight="1" x14ac:dyDescent="0.2">
      <c r="B18" s="5" t="s">
        <v>40</v>
      </c>
      <c r="C18" s="6">
        <f>C115</f>
        <v>0.67883069848604749</v>
      </c>
      <c r="D18" s="6">
        <f t="shared" ref="D18" si="2">D115</f>
        <v>1.9094675800590988E-2</v>
      </c>
      <c r="E18" s="6" t="e">
        <f>E115</f>
        <v>#NUM!</v>
      </c>
      <c r="F18" s="22"/>
      <c r="G18" s="22"/>
    </row>
    <row r="19" spans="2:7" s="3" customFormat="1" ht="11.25" customHeight="1" x14ac:dyDescent="0.2">
      <c r="B19" s="7" t="s">
        <v>2</v>
      </c>
      <c r="C19" s="8">
        <f>C116</f>
        <v>3786743621.3743773</v>
      </c>
      <c r="D19" s="8">
        <f t="shared" ref="D19" si="3">D116</f>
        <v>-527864851.97991163</v>
      </c>
      <c r="E19" s="8">
        <f>E116</f>
        <v>-1443199378.2016199</v>
      </c>
      <c r="F19" s="22"/>
      <c r="G19" s="22"/>
    </row>
    <row r="20" spans="2:7" s="3" customFormat="1" ht="11.25" customHeight="1" x14ac:dyDescent="0.2">
      <c r="B20" s="22"/>
      <c r="C20" s="22"/>
      <c r="D20" s="22"/>
      <c r="E20" s="22"/>
      <c r="F20" s="22"/>
      <c r="G20" s="22"/>
    </row>
    <row r="21" spans="2:7" s="3" customFormat="1" ht="11.25" customHeight="1" x14ac:dyDescent="0.2">
      <c r="B21" s="22"/>
      <c r="C21" s="22"/>
      <c r="D21" s="22"/>
      <c r="E21" s="22"/>
      <c r="F21" s="22"/>
      <c r="G21" s="22"/>
    </row>
    <row r="22" spans="2:7" s="4" customFormat="1" ht="11.25" customHeight="1" x14ac:dyDescent="0.2">
      <c r="B22" s="23" t="s">
        <v>3</v>
      </c>
      <c r="C22" s="24"/>
      <c r="D22" s="24"/>
      <c r="E22" s="24"/>
      <c r="F22" s="24"/>
      <c r="G22" s="24"/>
    </row>
    <row r="23" spans="2:7" ht="11.25" customHeight="1" x14ac:dyDescent="0.25"/>
    <row r="24" spans="2:7" ht="11.25" customHeight="1" x14ac:dyDescent="0.25">
      <c r="B24" s="25" t="s">
        <v>19</v>
      </c>
      <c r="C24" s="25" t="s">
        <v>4</v>
      </c>
      <c r="D24" s="25" t="s">
        <v>6</v>
      </c>
      <c r="E24" s="25" t="s">
        <v>5</v>
      </c>
    </row>
    <row r="25" spans="2:7" ht="11.25" customHeight="1" x14ac:dyDescent="0.25">
      <c r="B25" s="5" t="s">
        <v>21</v>
      </c>
      <c r="C25" s="10">
        <f>+C32/C29</f>
        <v>1494252.8735632184</v>
      </c>
      <c r="D25" s="10">
        <f>+D32/D29</f>
        <v>3076923.076923077</v>
      </c>
      <c r="E25" s="10">
        <f>+E32/E29</f>
        <v>1443548.2415777983</v>
      </c>
      <c r="F25" s="22" t="s">
        <v>14</v>
      </c>
    </row>
    <row r="26" spans="2:7" ht="11.25" customHeight="1" x14ac:dyDescent="0.25"/>
    <row r="27" spans="2:7" ht="11.25" customHeight="1" x14ac:dyDescent="0.25"/>
    <row r="28" spans="2:7" ht="11.25" customHeight="1" x14ac:dyDescent="0.25">
      <c r="B28" s="25" t="s">
        <v>8</v>
      </c>
      <c r="C28" s="25" t="s">
        <v>4</v>
      </c>
      <c r="D28" s="25" t="s">
        <v>6</v>
      </c>
      <c r="E28" s="25" t="s">
        <v>5</v>
      </c>
    </row>
    <row r="29" spans="2:7" ht="11.25" customHeight="1" x14ac:dyDescent="0.25">
      <c r="B29" s="7" t="s">
        <v>9</v>
      </c>
      <c r="C29" s="12">
        <v>0.87</v>
      </c>
      <c r="D29" s="12">
        <v>0.65</v>
      </c>
      <c r="E29" s="12">
        <f>0.98*0.65*0.87</f>
        <v>0.55418999999999996</v>
      </c>
    </row>
    <row r="30" spans="2:7" ht="11.25" customHeight="1" x14ac:dyDescent="0.25"/>
    <row r="31" spans="2:7" ht="11.25" customHeight="1" x14ac:dyDescent="0.25">
      <c r="B31" s="25" t="s">
        <v>20</v>
      </c>
      <c r="C31" s="25" t="s">
        <v>4</v>
      </c>
      <c r="D31" s="25" t="s">
        <v>6</v>
      </c>
      <c r="E31" s="25" t="s">
        <v>5</v>
      </c>
    </row>
    <row r="32" spans="2:7" s="19" customFormat="1" ht="11.25" customHeight="1" x14ac:dyDescent="0.25">
      <c r="B32" s="5" t="s">
        <v>22</v>
      </c>
      <c r="C32" s="10">
        <v>1300000</v>
      </c>
      <c r="D32" s="10">
        <v>2000000</v>
      </c>
      <c r="E32" s="10">
        <v>800000</v>
      </c>
      <c r="F32" s="22" t="s">
        <v>14</v>
      </c>
      <c r="G32" s="26"/>
    </row>
    <row r="33" spans="2:7" ht="11.25" customHeight="1" x14ac:dyDescent="0.25"/>
    <row r="34" spans="2:7" s="4" customFormat="1" ht="11.25" customHeight="1" x14ac:dyDescent="0.2">
      <c r="B34" s="23" t="s">
        <v>16</v>
      </c>
      <c r="C34" s="24"/>
      <c r="D34" s="24"/>
      <c r="E34" s="24"/>
      <c r="F34" s="24"/>
      <c r="G34" s="24"/>
    </row>
    <row r="35" spans="2:7" ht="11.25" customHeight="1" x14ac:dyDescent="0.25"/>
    <row r="36" spans="2:7" ht="11.25" customHeight="1" x14ac:dyDescent="0.25">
      <c r="B36" s="25"/>
      <c r="C36" s="25" t="s">
        <v>4</v>
      </c>
      <c r="D36" s="25" t="s">
        <v>6</v>
      </c>
      <c r="E36" s="25" t="s">
        <v>7</v>
      </c>
    </row>
    <row r="37" spans="2:7" ht="11.25" customHeight="1" x14ac:dyDescent="0.25">
      <c r="B37" s="5" t="s">
        <v>23</v>
      </c>
      <c r="C37" s="20">
        <v>1000000000</v>
      </c>
      <c r="D37" s="20">
        <v>1200000000</v>
      </c>
      <c r="E37" s="20">
        <f>D37*0.5</f>
        <v>600000000</v>
      </c>
      <c r="F37" s="27"/>
    </row>
    <row r="38" spans="2:7" ht="11.25" customHeight="1" x14ac:dyDescent="0.25">
      <c r="B38" s="5" t="s">
        <v>41</v>
      </c>
      <c r="C38" s="20">
        <v>0</v>
      </c>
      <c r="D38" s="20">
        <v>0</v>
      </c>
      <c r="E38" s="20">
        <v>0</v>
      </c>
      <c r="F38" s="27"/>
    </row>
    <row r="39" spans="2:7" ht="11.25" customHeight="1" x14ac:dyDescent="0.25">
      <c r="B39" s="5" t="s">
        <v>31</v>
      </c>
      <c r="C39" s="20">
        <v>170</v>
      </c>
      <c r="D39" s="20">
        <v>175</v>
      </c>
      <c r="E39" s="31">
        <v>200</v>
      </c>
      <c r="F39" s="22" t="s">
        <v>15</v>
      </c>
    </row>
    <row r="40" spans="2:7" ht="11.25" customHeight="1" x14ac:dyDescent="0.25">
      <c r="B40" s="17" t="s">
        <v>32</v>
      </c>
      <c r="C40" s="20">
        <f>C39*C$25</f>
        <v>254022988.50574714</v>
      </c>
      <c r="D40" s="20">
        <f>D39*D$25</f>
        <v>538461538.46153843</v>
      </c>
      <c r="E40" s="20">
        <f>E39*E$25</f>
        <v>288709648.31555963</v>
      </c>
      <c r="F40" s="22" t="s">
        <v>33</v>
      </c>
    </row>
    <row r="41" spans="2:7" ht="11.25" customHeight="1" x14ac:dyDescent="0.25">
      <c r="F41" s="22"/>
    </row>
    <row r="42" spans="2:7" ht="11.25" customHeight="1" x14ac:dyDescent="0.25">
      <c r="F42" s="27"/>
    </row>
    <row r="43" spans="2:7" s="4" customFormat="1" ht="11.25" customHeight="1" x14ac:dyDescent="0.2">
      <c r="B43" s="23" t="s">
        <v>17</v>
      </c>
      <c r="C43" s="24"/>
      <c r="D43" s="24"/>
      <c r="E43" s="24"/>
      <c r="F43" s="24"/>
      <c r="G43" s="24"/>
    </row>
    <row r="44" spans="2:7" ht="11.25" customHeight="1" x14ac:dyDescent="0.25">
      <c r="F44" s="27"/>
    </row>
    <row r="45" spans="2:7" ht="11.25" customHeight="1" x14ac:dyDescent="0.25">
      <c r="B45" s="25" t="s">
        <v>18</v>
      </c>
      <c r="C45" s="25" t="s">
        <v>4</v>
      </c>
      <c r="D45" s="25" t="s">
        <v>6</v>
      </c>
      <c r="E45" s="25" t="s">
        <v>7</v>
      </c>
      <c r="F45" s="25"/>
    </row>
    <row r="46" spans="2:7" ht="11.25" customHeight="1" x14ac:dyDescent="0.25">
      <c r="B46" s="5" t="s">
        <v>10</v>
      </c>
      <c r="C46" s="28">
        <v>7.1999999999999995E-2</v>
      </c>
      <c r="D46" s="29">
        <v>1.17E-2</v>
      </c>
      <c r="E46" s="29">
        <v>1.2999999999999999E-3</v>
      </c>
      <c r="F46" s="22"/>
    </row>
    <row r="47" spans="2:7" ht="11.25" customHeight="1" x14ac:dyDescent="0.25">
      <c r="B47" s="7" t="s">
        <v>24</v>
      </c>
      <c r="C47" s="9">
        <v>5</v>
      </c>
      <c r="D47" s="12"/>
      <c r="E47" s="12"/>
      <c r="F47" s="22" t="s">
        <v>27</v>
      </c>
    </row>
    <row r="48" spans="2:7" ht="11.25" customHeight="1" x14ac:dyDescent="0.25">
      <c r="B48" s="5" t="s">
        <v>25</v>
      </c>
      <c r="C48" s="9">
        <v>23</v>
      </c>
      <c r="D48" s="12"/>
      <c r="E48" s="12"/>
      <c r="F48" s="22" t="s">
        <v>27</v>
      </c>
    </row>
    <row r="49" spans="2:6" ht="11.25" customHeight="1" x14ac:dyDescent="0.25">
      <c r="B49" s="5" t="s">
        <v>26</v>
      </c>
      <c r="C49" s="12"/>
      <c r="D49" s="28">
        <v>0.28799999999999998</v>
      </c>
      <c r="E49" s="28">
        <v>0.23</v>
      </c>
      <c r="F49" s="22"/>
    </row>
    <row r="50" spans="2:6" ht="11.25" customHeight="1" x14ac:dyDescent="0.25">
      <c r="B50" s="7" t="s">
        <v>12</v>
      </c>
      <c r="C50" s="12"/>
      <c r="D50" s="29">
        <v>1.6000000000000001E-3</v>
      </c>
      <c r="E50" s="29">
        <v>6.4000000000000003E-3</v>
      </c>
      <c r="F50" s="22"/>
    </row>
    <row r="51" spans="2:6" ht="11.25" customHeight="1" x14ac:dyDescent="0.25">
      <c r="B51" s="5" t="s">
        <v>11</v>
      </c>
      <c r="C51" s="12"/>
      <c r="D51" s="29">
        <v>1.3599999999999999E-2</v>
      </c>
      <c r="E51" s="28">
        <v>5.0000000000000001E-3</v>
      </c>
      <c r="F51" s="22"/>
    </row>
    <row r="52" spans="2:6" ht="11.25" customHeight="1" x14ac:dyDescent="0.25"/>
    <row r="53" spans="2:6" ht="11.25" customHeight="1" x14ac:dyDescent="0.25"/>
    <row r="54" spans="2:6" ht="11.25" customHeight="1" x14ac:dyDescent="0.25">
      <c r="B54" s="25" t="s">
        <v>28</v>
      </c>
      <c r="C54" s="25" t="s">
        <v>4</v>
      </c>
      <c r="D54" s="25" t="s">
        <v>6</v>
      </c>
      <c r="E54" s="25" t="s">
        <v>7</v>
      </c>
    </row>
    <row r="55" spans="2:6" ht="11.25" customHeight="1" x14ac:dyDescent="0.25">
      <c r="B55" s="11" t="s">
        <v>10</v>
      </c>
      <c r="C55" s="12">
        <v>1</v>
      </c>
      <c r="D55" s="12">
        <v>0.95</v>
      </c>
      <c r="E55" s="12">
        <v>0.95</v>
      </c>
    </row>
    <row r="56" spans="2:6" ht="11.25" customHeight="1" x14ac:dyDescent="0.25">
      <c r="B56" s="11" t="s">
        <v>24</v>
      </c>
      <c r="C56" s="12">
        <v>1</v>
      </c>
      <c r="D56" s="12"/>
      <c r="E56" s="12"/>
    </row>
    <row r="57" spans="2:6" ht="11.25" customHeight="1" x14ac:dyDescent="0.25">
      <c r="B57" s="11" t="s">
        <v>25</v>
      </c>
      <c r="C57" s="12">
        <v>1</v>
      </c>
      <c r="D57" s="12"/>
      <c r="E57" s="12"/>
    </row>
    <row r="58" spans="2:6" ht="11.25" customHeight="1" x14ac:dyDescent="0.25">
      <c r="B58" s="11" t="s">
        <v>26</v>
      </c>
      <c r="C58" s="12"/>
      <c r="D58" s="33">
        <f>93%*C1</f>
        <v>0</v>
      </c>
      <c r="E58" s="33">
        <f>93%*C1</f>
        <v>0</v>
      </c>
    </row>
    <row r="59" spans="2:6" ht="11.25" customHeight="1" x14ac:dyDescent="0.25">
      <c r="B59" s="11" t="s">
        <v>12</v>
      </c>
      <c r="C59" s="12"/>
      <c r="D59" s="12">
        <v>0.85</v>
      </c>
      <c r="E59" s="12">
        <v>0.85</v>
      </c>
    </row>
    <row r="60" spans="2:6" ht="11.25" customHeight="1" x14ac:dyDescent="0.25">
      <c r="B60" s="11" t="s">
        <v>11</v>
      </c>
      <c r="C60" s="12"/>
      <c r="D60" s="12">
        <v>0.95</v>
      </c>
      <c r="E60" s="12">
        <v>0.95</v>
      </c>
    </row>
    <row r="61" spans="2:6" ht="11.25" customHeight="1" x14ac:dyDescent="0.25"/>
    <row r="62" spans="2:6" ht="11.25" customHeight="1" x14ac:dyDescent="0.25"/>
    <row r="63" spans="2:6" ht="11.25" customHeight="1" x14ac:dyDescent="0.25">
      <c r="B63" s="25" t="s">
        <v>44</v>
      </c>
      <c r="C63" s="25" t="s">
        <v>4</v>
      </c>
      <c r="D63" s="25" t="s">
        <v>6</v>
      </c>
      <c r="E63" s="25" t="s">
        <v>7</v>
      </c>
    </row>
    <row r="64" spans="2:6" ht="11.25" customHeight="1" x14ac:dyDescent="0.25">
      <c r="B64" s="13" t="s">
        <v>10</v>
      </c>
      <c r="C64" s="10">
        <f>C$32*C46*C55</f>
        <v>93600</v>
      </c>
      <c r="D64" s="10">
        <f t="shared" ref="D64" si="4">D$32*D46*D55</f>
        <v>22230</v>
      </c>
      <c r="E64" s="10">
        <f>E$32*E46*E55</f>
        <v>988</v>
      </c>
    </row>
    <row r="65" spans="2:5" ht="11.25" customHeight="1" x14ac:dyDescent="0.25">
      <c r="B65" s="13" t="s">
        <v>24</v>
      </c>
      <c r="C65" s="9">
        <f>C$32*C47*(10^-6)</f>
        <v>6.5</v>
      </c>
      <c r="D65" s="10"/>
      <c r="E65" s="14"/>
    </row>
    <row r="66" spans="2:5" ht="11.25" customHeight="1" x14ac:dyDescent="0.25">
      <c r="B66" s="13" t="s">
        <v>25</v>
      </c>
      <c r="C66" s="9">
        <f>C$32*C48*(10^-6)</f>
        <v>29.9</v>
      </c>
      <c r="D66" s="10"/>
      <c r="E66" s="10"/>
    </row>
    <row r="67" spans="2:5" ht="11.25" customHeight="1" x14ac:dyDescent="0.25">
      <c r="B67" s="13" t="s">
        <v>26</v>
      </c>
      <c r="C67" s="10"/>
      <c r="D67" s="10">
        <f>D$32*D49*D58</f>
        <v>0</v>
      </c>
      <c r="E67" s="10">
        <f>E$32*E49*E58</f>
        <v>0</v>
      </c>
    </row>
    <row r="68" spans="2:5" ht="11.25" customHeight="1" x14ac:dyDescent="0.25">
      <c r="B68" s="13" t="s">
        <v>12</v>
      </c>
      <c r="C68" s="10"/>
      <c r="D68" s="10">
        <f>D$32*D50*D59</f>
        <v>2720</v>
      </c>
      <c r="E68" s="10">
        <f>E$32*E50*E59</f>
        <v>4352</v>
      </c>
    </row>
    <row r="69" spans="2:5" ht="11.25" customHeight="1" x14ac:dyDescent="0.25">
      <c r="B69" s="13" t="s">
        <v>11</v>
      </c>
      <c r="C69" s="10"/>
      <c r="D69" s="10">
        <f>D$32*D51*D60</f>
        <v>25840</v>
      </c>
      <c r="E69" s="10">
        <f>E$32*E51*E60</f>
        <v>3800</v>
      </c>
    </row>
    <row r="70" spans="2:5" ht="11.25" customHeight="1" x14ac:dyDescent="0.25"/>
    <row r="71" spans="2:5" ht="11.25" customHeight="1" x14ac:dyDescent="0.25"/>
    <row r="72" spans="2:5" ht="11.25" customHeight="1" x14ac:dyDescent="0.25">
      <c r="B72" s="25" t="s">
        <v>29</v>
      </c>
      <c r="C72" s="25" t="s">
        <v>4</v>
      </c>
      <c r="D72" s="25" t="s">
        <v>6</v>
      </c>
      <c r="E72" s="25" t="s">
        <v>7</v>
      </c>
    </row>
    <row r="73" spans="2:5" ht="11.25" customHeight="1" x14ac:dyDescent="0.25">
      <c r="B73" s="13" t="s">
        <v>10</v>
      </c>
      <c r="C73" s="10">
        <v>7000</v>
      </c>
      <c r="D73" s="10">
        <v>7000</v>
      </c>
      <c r="E73" s="10">
        <v>7000</v>
      </c>
    </row>
    <row r="74" spans="2:5" ht="11.25" customHeight="1" x14ac:dyDescent="0.25">
      <c r="B74" s="13" t="s">
        <v>24</v>
      </c>
      <c r="C74" s="10">
        <v>40000000</v>
      </c>
      <c r="D74" s="10">
        <v>40000000</v>
      </c>
      <c r="E74" s="10">
        <v>40000000</v>
      </c>
    </row>
    <row r="75" spans="2:5" ht="11.25" customHeight="1" x14ac:dyDescent="0.25">
      <c r="B75" s="13" t="s">
        <v>25</v>
      </c>
      <c r="C75" s="10">
        <v>600000</v>
      </c>
      <c r="D75" s="10">
        <v>600000</v>
      </c>
      <c r="E75" s="10">
        <v>600000</v>
      </c>
    </row>
    <row r="76" spans="2:5" ht="11.25" customHeight="1" x14ac:dyDescent="0.25">
      <c r="B76" s="13" t="s">
        <v>26</v>
      </c>
      <c r="C76" s="10">
        <v>2300</v>
      </c>
      <c r="D76" s="10">
        <v>2300</v>
      </c>
      <c r="E76" s="10">
        <v>2300</v>
      </c>
    </row>
    <row r="77" spans="2:5" ht="11.25" customHeight="1" x14ac:dyDescent="0.25">
      <c r="B77" s="13" t="s">
        <v>12</v>
      </c>
      <c r="C77" s="10">
        <v>25000</v>
      </c>
      <c r="D77" s="10">
        <v>25000</v>
      </c>
      <c r="E77" s="10">
        <v>25000</v>
      </c>
    </row>
    <row r="78" spans="2:5" ht="11.25" customHeight="1" x14ac:dyDescent="0.25">
      <c r="B78" s="13" t="s">
        <v>11</v>
      </c>
      <c r="C78" s="10">
        <v>15000</v>
      </c>
      <c r="D78" s="10">
        <v>15000</v>
      </c>
      <c r="E78" s="10">
        <v>15000</v>
      </c>
    </row>
    <row r="79" spans="2:5" ht="11.25" customHeight="1" x14ac:dyDescent="0.25"/>
    <row r="80" spans="2:5" ht="11.25" customHeight="1" x14ac:dyDescent="0.25"/>
    <row r="81" spans="2:7" ht="11.25" customHeight="1" x14ac:dyDescent="0.25">
      <c r="B81" s="25" t="s">
        <v>43</v>
      </c>
      <c r="C81" s="25" t="s">
        <v>4</v>
      </c>
      <c r="D81" s="25" t="s">
        <v>6</v>
      </c>
      <c r="E81" s="25" t="s">
        <v>7</v>
      </c>
    </row>
    <row r="82" spans="2:7" ht="11.25" customHeight="1" x14ac:dyDescent="0.25">
      <c r="B82" s="13" t="s">
        <v>10</v>
      </c>
      <c r="C82" s="15">
        <f>C64*C73</f>
        <v>655200000</v>
      </c>
      <c r="D82" s="15">
        <f t="shared" ref="D82" si="5">D64*D73</f>
        <v>155610000</v>
      </c>
      <c r="E82" s="15">
        <f>E64*E73</f>
        <v>6916000</v>
      </c>
    </row>
    <row r="83" spans="2:7" ht="11.25" customHeight="1" x14ac:dyDescent="0.25">
      <c r="B83" s="13" t="s">
        <v>24</v>
      </c>
      <c r="C83" s="15">
        <f t="shared" ref="C83:D87" si="6">C65*C74</f>
        <v>260000000</v>
      </c>
      <c r="D83" s="15">
        <f t="shared" si="6"/>
        <v>0</v>
      </c>
      <c r="E83" s="15">
        <f>E65*E74</f>
        <v>0</v>
      </c>
    </row>
    <row r="84" spans="2:7" ht="11.25" customHeight="1" x14ac:dyDescent="0.25">
      <c r="B84" s="13" t="s">
        <v>25</v>
      </c>
      <c r="C84" s="15">
        <f t="shared" si="6"/>
        <v>17940000</v>
      </c>
      <c r="D84" s="15">
        <f t="shared" si="6"/>
        <v>0</v>
      </c>
      <c r="E84" s="15">
        <f>E66*E75</f>
        <v>0</v>
      </c>
    </row>
    <row r="85" spans="2:7" ht="11.25" customHeight="1" x14ac:dyDescent="0.25">
      <c r="B85" s="13" t="s">
        <v>26</v>
      </c>
      <c r="C85" s="15">
        <f t="shared" si="6"/>
        <v>0</v>
      </c>
      <c r="D85" s="15">
        <f t="shared" si="6"/>
        <v>0</v>
      </c>
      <c r="E85" s="15">
        <f>E67*E76</f>
        <v>0</v>
      </c>
    </row>
    <row r="86" spans="2:7" ht="11.25" customHeight="1" x14ac:dyDescent="0.25">
      <c r="B86" s="13" t="s">
        <v>12</v>
      </c>
      <c r="C86" s="15">
        <f t="shared" si="6"/>
        <v>0</v>
      </c>
      <c r="D86" s="15">
        <f t="shared" si="6"/>
        <v>68000000</v>
      </c>
      <c r="E86" s="15">
        <f>E68*E77</f>
        <v>108800000</v>
      </c>
    </row>
    <row r="87" spans="2:7" ht="11.25" customHeight="1" x14ac:dyDescent="0.25">
      <c r="B87" s="13" t="s">
        <v>11</v>
      </c>
      <c r="C87" s="15">
        <f t="shared" si="6"/>
        <v>0</v>
      </c>
      <c r="D87" s="15">
        <f t="shared" si="6"/>
        <v>387600000</v>
      </c>
      <c r="E87" s="15">
        <f>E69*E78</f>
        <v>57000000</v>
      </c>
    </row>
    <row r="88" spans="2:7" ht="11.25" customHeight="1" x14ac:dyDescent="0.25">
      <c r="B88" s="13" t="s">
        <v>30</v>
      </c>
      <c r="C88" s="16">
        <f>SUM(C82:C87)</f>
        <v>933140000</v>
      </c>
      <c r="D88" s="16">
        <f t="shared" ref="D88" si="7">SUM(D82:D87)</f>
        <v>611210000</v>
      </c>
      <c r="E88" s="16">
        <f>SUM(E82:E87)</f>
        <v>172716000</v>
      </c>
    </row>
    <row r="89" spans="2:7" ht="11.25" customHeight="1" x14ac:dyDescent="0.25">
      <c r="B89" s="25" t="s">
        <v>47</v>
      </c>
      <c r="C89" s="15">
        <f>C88/C32</f>
        <v>717.8</v>
      </c>
      <c r="D89" s="15">
        <f t="shared" ref="D89:E89" si="8">D88/D32</f>
        <v>305.60500000000002</v>
      </c>
      <c r="E89" s="15">
        <f t="shared" si="8"/>
        <v>215.89500000000001</v>
      </c>
    </row>
    <row r="90" spans="2:7" ht="11.25" customHeight="1" x14ac:dyDescent="0.25"/>
    <row r="91" spans="2:7" s="4" customFormat="1" ht="11.25" customHeight="1" x14ac:dyDescent="0.2">
      <c r="B91" s="23" t="s">
        <v>17</v>
      </c>
      <c r="C91" s="24"/>
      <c r="D91" s="24"/>
      <c r="E91" s="24"/>
      <c r="F91" s="24"/>
      <c r="G91" s="24"/>
    </row>
    <row r="92" spans="2:7" ht="11.25" customHeight="1" x14ac:dyDescent="0.25"/>
    <row r="93" spans="2:7" ht="11.25" customHeight="1" x14ac:dyDescent="0.25">
      <c r="B93" s="25" t="s">
        <v>38</v>
      </c>
      <c r="C93" s="25" t="s">
        <v>4</v>
      </c>
      <c r="D93" s="25" t="s">
        <v>6</v>
      </c>
      <c r="E93" s="25" t="s">
        <v>7</v>
      </c>
    </row>
    <row r="94" spans="2:7" ht="11.25" customHeight="1" x14ac:dyDescent="0.25">
      <c r="B94" s="13">
        <v>0</v>
      </c>
      <c r="C94" s="15">
        <f>C10+(C38*-1)</f>
        <v>-1000000000</v>
      </c>
      <c r="D94" s="15">
        <f t="shared" ref="D94" si="9">D10+(D38*-1)</f>
        <v>-1200000000</v>
      </c>
      <c r="E94" s="15">
        <f>E10+(E38*-1)</f>
        <v>-600000000</v>
      </c>
    </row>
    <row r="95" spans="2:7" ht="11.25" customHeight="1" x14ac:dyDescent="0.25">
      <c r="B95" s="13">
        <f>B94+1</f>
        <v>1</v>
      </c>
      <c r="C95" s="15">
        <f>C14</f>
        <v>679117011.49425292</v>
      </c>
      <c r="D95" s="15">
        <f>D14</f>
        <v>72748461.538461566</v>
      </c>
      <c r="E95" s="15">
        <f>E14</f>
        <v>-115993648.31555963</v>
      </c>
    </row>
    <row r="96" spans="2:7" ht="11.25" customHeight="1" x14ac:dyDescent="0.25">
      <c r="B96" s="13">
        <f t="shared" ref="B96:B114" si="10">B95+1</f>
        <v>2</v>
      </c>
      <c r="C96" s="15">
        <f>C95</f>
        <v>679117011.49425292</v>
      </c>
      <c r="D96" s="15">
        <f t="shared" ref="D96" si="11">D95</f>
        <v>72748461.538461566</v>
      </c>
      <c r="E96" s="15">
        <f>E95</f>
        <v>-115993648.31555963</v>
      </c>
    </row>
    <row r="97" spans="2:5" ht="11.25" customHeight="1" x14ac:dyDescent="0.25">
      <c r="B97" s="13">
        <f t="shared" si="10"/>
        <v>3</v>
      </c>
      <c r="C97" s="15">
        <f t="shared" ref="C97:C109" si="12">C96</f>
        <v>679117011.49425292</v>
      </c>
      <c r="D97" s="15">
        <f t="shared" ref="D97:D114" si="13">D96</f>
        <v>72748461.538461566</v>
      </c>
      <c r="E97" s="15">
        <f t="shared" ref="E97:E114" si="14">E96</f>
        <v>-115993648.31555963</v>
      </c>
    </row>
    <row r="98" spans="2:5" ht="11.25" customHeight="1" x14ac:dyDescent="0.25">
      <c r="B98" s="13">
        <f t="shared" si="10"/>
        <v>4</v>
      </c>
      <c r="C98" s="15">
        <f t="shared" si="12"/>
        <v>679117011.49425292</v>
      </c>
      <c r="D98" s="15">
        <f t="shared" si="13"/>
        <v>72748461.538461566</v>
      </c>
      <c r="E98" s="15">
        <f t="shared" si="14"/>
        <v>-115993648.31555963</v>
      </c>
    </row>
    <row r="99" spans="2:5" ht="11.25" customHeight="1" x14ac:dyDescent="0.25">
      <c r="B99" s="13">
        <f t="shared" si="10"/>
        <v>5</v>
      </c>
      <c r="C99" s="15">
        <f t="shared" si="12"/>
        <v>679117011.49425292</v>
      </c>
      <c r="D99" s="15">
        <f t="shared" si="13"/>
        <v>72748461.538461566</v>
      </c>
      <c r="E99" s="15">
        <f t="shared" si="14"/>
        <v>-115993648.31555963</v>
      </c>
    </row>
    <row r="100" spans="2:5" ht="11.25" customHeight="1" x14ac:dyDescent="0.25">
      <c r="B100" s="13">
        <f t="shared" si="10"/>
        <v>6</v>
      </c>
      <c r="C100" s="15">
        <f t="shared" si="12"/>
        <v>679117011.49425292</v>
      </c>
      <c r="D100" s="15">
        <f t="shared" si="13"/>
        <v>72748461.538461566</v>
      </c>
      <c r="E100" s="15">
        <f t="shared" si="14"/>
        <v>-115993648.31555963</v>
      </c>
    </row>
    <row r="101" spans="2:5" ht="11.25" customHeight="1" x14ac:dyDescent="0.25">
      <c r="B101" s="13">
        <f t="shared" si="10"/>
        <v>7</v>
      </c>
      <c r="C101" s="15">
        <f t="shared" si="12"/>
        <v>679117011.49425292</v>
      </c>
      <c r="D101" s="15">
        <f t="shared" si="13"/>
        <v>72748461.538461566</v>
      </c>
      <c r="E101" s="15">
        <f t="shared" si="14"/>
        <v>-115993648.31555963</v>
      </c>
    </row>
    <row r="102" spans="2:5" ht="11.25" customHeight="1" x14ac:dyDescent="0.25">
      <c r="B102" s="13">
        <f t="shared" si="10"/>
        <v>8</v>
      </c>
      <c r="C102" s="15">
        <f t="shared" si="12"/>
        <v>679117011.49425292</v>
      </c>
      <c r="D102" s="15">
        <f t="shared" si="13"/>
        <v>72748461.538461566</v>
      </c>
      <c r="E102" s="15">
        <f t="shared" si="14"/>
        <v>-115993648.31555963</v>
      </c>
    </row>
    <row r="103" spans="2:5" ht="11.25" customHeight="1" x14ac:dyDescent="0.25">
      <c r="B103" s="13">
        <f t="shared" si="10"/>
        <v>9</v>
      </c>
      <c r="C103" s="15">
        <f t="shared" si="12"/>
        <v>679117011.49425292</v>
      </c>
      <c r="D103" s="15">
        <f t="shared" si="13"/>
        <v>72748461.538461566</v>
      </c>
      <c r="E103" s="15">
        <f t="shared" si="14"/>
        <v>-115993648.31555963</v>
      </c>
    </row>
    <row r="104" spans="2:5" ht="11.25" customHeight="1" x14ac:dyDescent="0.25">
      <c r="B104" s="13">
        <f t="shared" si="10"/>
        <v>10</v>
      </c>
      <c r="C104" s="15">
        <f t="shared" si="12"/>
        <v>679117011.49425292</v>
      </c>
      <c r="D104" s="15">
        <f t="shared" si="13"/>
        <v>72748461.538461566</v>
      </c>
      <c r="E104" s="15">
        <f t="shared" si="14"/>
        <v>-115993648.31555963</v>
      </c>
    </row>
    <row r="105" spans="2:5" ht="11.25" customHeight="1" x14ac:dyDescent="0.25">
      <c r="B105" s="13">
        <f t="shared" si="10"/>
        <v>11</v>
      </c>
      <c r="C105" s="15">
        <f t="shared" si="12"/>
        <v>679117011.49425292</v>
      </c>
      <c r="D105" s="15">
        <f t="shared" si="13"/>
        <v>72748461.538461566</v>
      </c>
      <c r="E105" s="15">
        <f t="shared" si="14"/>
        <v>-115993648.31555963</v>
      </c>
    </row>
    <row r="106" spans="2:5" ht="11.25" customHeight="1" x14ac:dyDescent="0.25">
      <c r="B106" s="13">
        <f t="shared" si="10"/>
        <v>12</v>
      </c>
      <c r="C106" s="15">
        <f t="shared" si="12"/>
        <v>679117011.49425292</v>
      </c>
      <c r="D106" s="15">
        <f t="shared" si="13"/>
        <v>72748461.538461566</v>
      </c>
      <c r="E106" s="15">
        <f t="shared" si="14"/>
        <v>-115993648.31555963</v>
      </c>
    </row>
    <row r="107" spans="2:5" ht="11.25" customHeight="1" x14ac:dyDescent="0.25">
      <c r="B107" s="13">
        <f t="shared" si="10"/>
        <v>13</v>
      </c>
      <c r="C107" s="15">
        <f t="shared" si="12"/>
        <v>679117011.49425292</v>
      </c>
      <c r="D107" s="15">
        <f t="shared" si="13"/>
        <v>72748461.538461566</v>
      </c>
      <c r="E107" s="15">
        <f t="shared" si="14"/>
        <v>-115993648.31555963</v>
      </c>
    </row>
    <row r="108" spans="2:5" ht="11.25" customHeight="1" x14ac:dyDescent="0.25">
      <c r="B108" s="13">
        <f t="shared" si="10"/>
        <v>14</v>
      </c>
      <c r="C108" s="15">
        <f t="shared" si="12"/>
        <v>679117011.49425292</v>
      </c>
      <c r="D108" s="15">
        <f t="shared" si="13"/>
        <v>72748461.538461566</v>
      </c>
      <c r="E108" s="15">
        <f t="shared" si="14"/>
        <v>-115993648.31555963</v>
      </c>
    </row>
    <row r="109" spans="2:5" ht="11.25" customHeight="1" x14ac:dyDescent="0.25">
      <c r="B109" s="13">
        <f t="shared" si="10"/>
        <v>15</v>
      </c>
      <c r="C109" s="15">
        <f t="shared" si="12"/>
        <v>679117011.49425292</v>
      </c>
      <c r="D109" s="15">
        <f t="shared" si="13"/>
        <v>72748461.538461566</v>
      </c>
      <c r="E109" s="15">
        <f t="shared" si="14"/>
        <v>-115993648.31555963</v>
      </c>
    </row>
    <row r="110" spans="2:5" ht="11.25" customHeight="1" x14ac:dyDescent="0.25">
      <c r="B110" s="13">
        <f t="shared" si="10"/>
        <v>16</v>
      </c>
      <c r="C110" s="15"/>
      <c r="D110" s="15">
        <f t="shared" si="13"/>
        <v>72748461.538461566</v>
      </c>
      <c r="E110" s="15">
        <f t="shared" si="14"/>
        <v>-115993648.31555963</v>
      </c>
    </row>
    <row r="111" spans="2:5" ht="11.25" customHeight="1" x14ac:dyDescent="0.25">
      <c r="B111" s="13">
        <f t="shared" si="10"/>
        <v>17</v>
      </c>
      <c r="C111" s="15"/>
      <c r="D111" s="15">
        <f t="shared" si="13"/>
        <v>72748461.538461566</v>
      </c>
      <c r="E111" s="15">
        <f t="shared" si="14"/>
        <v>-115993648.31555963</v>
      </c>
    </row>
    <row r="112" spans="2:5" ht="11.25" customHeight="1" x14ac:dyDescent="0.25">
      <c r="B112" s="13">
        <f t="shared" si="10"/>
        <v>18</v>
      </c>
      <c r="C112" s="15"/>
      <c r="D112" s="15">
        <f t="shared" si="13"/>
        <v>72748461.538461566</v>
      </c>
      <c r="E112" s="15">
        <f t="shared" si="14"/>
        <v>-115993648.31555963</v>
      </c>
    </row>
    <row r="113" spans="2:5" ht="11.25" customHeight="1" x14ac:dyDescent="0.25">
      <c r="B113" s="13">
        <f t="shared" si="10"/>
        <v>19</v>
      </c>
      <c r="C113" s="15"/>
      <c r="D113" s="15">
        <f t="shared" si="13"/>
        <v>72748461.538461566</v>
      </c>
      <c r="E113" s="15">
        <f t="shared" si="14"/>
        <v>-115993648.31555963</v>
      </c>
    </row>
    <row r="114" spans="2:5" ht="11.25" customHeight="1" x14ac:dyDescent="0.25">
      <c r="B114" s="13">
        <f t="shared" si="10"/>
        <v>20</v>
      </c>
      <c r="C114" s="15"/>
      <c r="D114" s="15">
        <f t="shared" si="13"/>
        <v>72748461.538461566</v>
      </c>
      <c r="E114" s="15">
        <f t="shared" si="14"/>
        <v>-115993648.31555963</v>
      </c>
    </row>
    <row r="115" spans="2:5" ht="11.25" customHeight="1" x14ac:dyDescent="0.25">
      <c r="B115" s="11" t="s">
        <v>39</v>
      </c>
      <c r="C115" s="11">
        <f>IRR(C94:C114)</f>
        <v>0.67883069848604749</v>
      </c>
      <c r="D115" s="11">
        <f t="shared" ref="D115" si="15">IRR(D94:D114)</f>
        <v>1.9094675800590988E-2</v>
      </c>
      <c r="E115" s="11" t="e">
        <f>IRR(E94:E114)</f>
        <v>#NUM!</v>
      </c>
    </row>
    <row r="116" spans="2:5" ht="11.25" customHeight="1" x14ac:dyDescent="0.25">
      <c r="B116" s="11" t="s">
        <v>2</v>
      </c>
      <c r="C116" s="18">
        <f>NPV($B$117,C94:C114)</f>
        <v>3786743621.3743773</v>
      </c>
      <c r="D116" s="18">
        <f t="shared" ref="D116" si="16">NPV($B$117,D94:D114)</f>
        <v>-527864851.97991163</v>
      </c>
      <c r="E116" s="18">
        <f>NPV($B$117,E94:E114)</f>
        <v>-1443199378.2016199</v>
      </c>
    </row>
    <row r="117" spans="2:5" ht="11.25" customHeight="1" x14ac:dyDescent="0.25">
      <c r="B117" s="11">
        <v>0.1</v>
      </c>
      <c r="C117" s="11"/>
      <c r="D117" s="11"/>
      <c r="E117" s="11"/>
    </row>
    <row r="118" spans="2:5" ht="11.25" customHeight="1" x14ac:dyDescent="0.25"/>
    <row r="119" spans="2:5" ht="11.25" customHeight="1" x14ac:dyDescent="0.25"/>
    <row r="120" spans="2:5" ht="11.25" hidden="1" customHeight="1" x14ac:dyDescent="0.25"/>
    <row r="121" spans="2:5" ht="11.25" hidden="1" customHeight="1" x14ac:dyDescent="0.25"/>
    <row r="122" spans="2:5" ht="11.25" hidden="1" customHeight="1" x14ac:dyDescent="0.25"/>
    <row r="123" spans="2:5" ht="11.25" hidden="1" customHeight="1" x14ac:dyDescent="0.25"/>
    <row r="124" spans="2:5" ht="11.25" hidden="1" customHeight="1" x14ac:dyDescent="0.25"/>
    <row r="125" spans="2:5" ht="11.25" customHeight="1" x14ac:dyDescent="0.25"/>
    <row r="126" spans="2:5" ht="11.25" customHeight="1" x14ac:dyDescent="0.25"/>
  </sheetData>
  <pageMargins left="0.7" right="0.7" top="0.75" bottom="0.75" header="0.3" footer="0.3"/>
  <pageSetup paperSize="9" scale="7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 model</vt:lpstr>
    </vt:vector>
  </TitlesOfParts>
  <Company>ECORYS Nederland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Meurs</dc:creator>
  <cp:lastModifiedBy>Roelof-Jan Molemaker</cp:lastModifiedBy>
  <cp:lastPrinted>2014-08-28T13:20:16Z</cp:lastPrinted>
  <dcterms:created xsi:type="dcterms:W3CDTF">2014-08-04T11:25:51Z</dcterms:created>
  <dcterms:modified xsi:type="dcterms:W3CDTF">2014-08-28T14:15:36Z</dcterms:modified>
</cp:coreProperties>
</file>