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8195" windowHeight="11520" tabRatio="817" firstSheet="4" activeTab="9"/>
  </bookViews>
  <sheets>
    <sheet name="summary" sheetId="12" r:id="rId1"/>
    <sheet name="baseline BAU" sheetId="1" r:id="rId2"/>
    <sheet name="option 1 full implementation" sheetId="3" r:id="rId3"/>
    <sheet name="option 2 single calculation met" sheetId="6" r:id="rId4"/>
    <sheet name="option 3.1 higher MSW recycling" sheetId="13" r:id="rId5"/>
    <sheet name="option 3.2 modernised pack targ" sheetId="7" r:id="rId6"/>
    <sheet name="option 3.3 limiting landfill" sheetId="9" r:id="rId7"/>
    <sheet name="option 3.4 combination" sheetId="10" r:id="rId8"/>
    <sheet name="scenario maximum feasible" sheetId="14" r:id="rId9"/>
    <sheet name="scenario plastics only" sheetId="15" r:id="rId10"/>
  </sheets>
  <calcPr calcId="145621"/>
</workbook>
</file>

<file path=xl/calcChain.xml><?xml version="1.0" encoding="utf-8"?>
<calcChain xmlns="http://schemas.openxmlformats.org/spreadsheetml/2006/main">
  <c r="AO66" i="14" l="1"/>
  <c r="AO65" i="14"/>
  <c r="AO64" i="14"/>
  <c r="AO63" i="14"/>
  <c r="AO62" i="14"/>
  <c r="AO61" i="14"/>
  <c r="AO60" i="14"/>
  <c r="AO59" i="14"/>
  <c r="AO58" i="14"/>
  <c r="AO57" i="14"/>
  <c r="AO56" i="14"/>
  <c r="AO55" i="14"/>
  <c r="AO54" i="14"/>
  <c r="AO53" i="14"/>
  <c r="AE66" i="14"/>
  <c r="AE65" i="14"/>
  <c r="AE64" i="14"/>
  <c r="AE63" i="14"/>
  <c r="AE62" i="14"/>
  <c r="AE61" i="14"/>
  <c r="AE60" i="14"/>
  <c r="AE59" i="14"/>
  <c r="AE58" i="14"/>
  <c r="AE57" i="14"/>
  <c r="AE56" i="14"/>
  <c r="AE55" i="14"/>
  <c r="AE54" i="14"/>
  <c r="AE53" i="14"/>
  <c r="U66" i="10" l="1"/>
  <c r="U65" i="10"/>
  <c r="U64" i="10"/>
  <c r="U63" i="10"/>
  <c r="U62" i="10"/>
  <c r="U61" i="10"/>
  <c r="U60" i="10"/>
  <c r="U59" i="10"/>
  <c r="U58" i="10"/>
  <c r="U57" i="10"/>
  <c r="U56" i="10"/>
  <c r="U55" i="10"/>
  <c r="U54" i="10"/>
  <c r="U53" i="10"/>
  <c r="AE66" i="10"/>
  <c r="AE65" i="10"/>
  <c r="AE64" i="10"/>
  <c r="AE63" i="10"/>
  <c r="AE62" i="10"/>
  <c r="AE61" i="10"/>
  <c r="AE60" i="10"/>
  <c r="AE59" i="10"/>
  <c r="AE58" i="10"/>
  <c r="AE57" i="10"/>
  <c r="AE56" i="10"/>
  <c r="AE55" i="10"/>
  <c r="AE54" i="10"/>
  <c r="AE53" i="10"/>
  <c r="AO66" i="9"/>
  <c r="AO65" i="9"/>
  <c r="AO64" i="9"/>
  <c r="AO63" i="9"/>
  <c r="AO62" i="9"/>
  <c r="AO61" i="9"/>
  <c r="AO60" i="9"/>
  <c r="AO59" i="9"/>
  <c r="AO58" i="9"/>
  <c r="AO57" i="9"/>
  <c r="AO56" i="9"/>
  <c r="AO55" i="9"/>
  <c r="AO54" i="9"/>
  <c r="AO53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E150" i="6"/>
  <c r="E151" i="6"/>
  <c r="E152" i="6"/>
  <c r="E153" i="6"/>
  <c r="E149" i="6"/>
  <c r="AA144" i="3" l="1"/>
  <c r="AA143" i="3"/>
  <c r="AA142" i="3"/>
  <c r="AA141" i="3"/>
  <c r="AA140" i="3"/>
  <c r="AA139" i="3"/>
  <c r="AA138" i="3"/>
  <c r="AA137" i="3"/>
  <c r="AA136" i="3"/>
  <c r="AA135" i="3"/>
  <c r="AA133" i="3"/>
  <c r="AA130" i="3"/>
  <c r="AA129" i="3"/>
  <c r="AA128" i="3"/>
  <c r="AA127" i="3"/>
  <c r="AA126" i="3"/>
  <c r="AA125" i="3"/>
  <c r="AA124" i="3"/>
  <c r="AA123" i="3"/>
  <c r="AA122" i="3"/>
  <c r="AA120" i="3"/>
  <c r="AA117" i="3"/>
  <c r="AA115" i="3"/>
  <c r="AA114" i="3"/>
  <c r="AA113" i="3"/>
  <c r="AA112" i="3"/>
  <c r="AA111" i="3"/>
  <c r="AA110" i="3"/>
  <c r="AA109" i="3"/>
  <c r="AA107" i="3"/>
  <c r="AA104" i="3"/>
  <c r="AA103" i="3"/>
  <c r="AA102" i="3"/>
  <c r="AA101" i="3"/>
  <c r="AA100" i="3"/>
  <c r="AA99" i="3"/>
  <c r="AA98" i="3"/>
  <c r="AA97" i="3"/>
  <c r="AA96" i="3"/>
  <c r="AA95" i="3"/>
  <c r="AA93" i="3"/>
  <c r="T76" i="3"/>
  <c r="C208" i="3"/>
  <c r="C201" i="3"/>
  <c r="C194" i="3"/>
  <c r="C187" i="3"/>
  <c r="J131" i="3"/>
  <c r="L131" i="3" s="1"/>
  <c r="B135" i="3"/>
  <c r="H131" i="3" s="1"/>
  <c r="J129" i="3"/>
  <c r="L129" i="3" s="1"/>
  <c r="J127" i="3"/>
  <c r="B130" i="3"/>
  <c r="H127" i="3" s="1"/>
  <c r="M34" i="1"/>
  <c r="H128" i="3" l="1"/>
  <c r="H129" i="3"/>
  <c r="H132" i="3"/>
  <c r="L73" i="15"/>
  <c r="L74" i="15"/>
  <c r="L75" i="15"/>
  <c r="L72" i="15"/>
  <c r="I74" i="15"/>
  <c r="I72" i="15"/>
  <c r="H72" i="15"/>
  <c r="G54" i="15"/>
  <c r="G55" i="15"/>
  <c r="G57" i="15"/>
  <c r="G58" i="15"/>
  <c r="G60" i="15"/>
  <c r="G61" i="15"/>
  <c r="G63" i="15"/>
  <c r="G64" i="15"/>
  <c r="F64" i="15"/>
  <c r="F63" i="15"/>
  <c r="F61" i="15"/>
  <c r="F60" i="15"/>
  <c r="F58" i="15"/>
  <c r="F57" i="15"/>
  <c r="F55" i="15"/>
  <c r="F54" i="15"/>
  <c r="G53" i="15"/>
  <c r="I53" i="15" s="1"/>
  <c r="K53" i="15" s="1"/>
  <c r="F53" i="15"/>
  <c r="H53" i="15" s="1"/>
  <c r="J53" i="15" s="1"/>
  <c r="K48" i="15"/>
  <c r="J48" i="15"/>
  <c r="H48" i="15"/>
  <c r="G48" i="15"/>
  <c r="E37" i="15"/>
  <c r="G44" i="15" s="1"/>
  <c r="E36" i="15"/>
  <c r="F44" i="15" s="1"/>
  <c r="E35" i="15"/>
  <c r="E44" i="15" s="1"/>
  <c r="O13" i="15"/>
  <c r="Q13" i="15" s="1"/>
  <c r="Q26" i="15" s="1"/>
  <c r="N13" i="15"/>
  <c r="P13" i="15" s="1"/>
  <c r="P26" i="15" s="1"/>
  <c r="Q39" i="15"/>
  <c r="L23" i="15"/>
  <c r="K23" i="15"/>
  <c r="L20" i="15"/>
  <c r="K20" i="15"/>
  <c r="L17" i="15"/>
  <c r="K17" i="15"/>
  <c r="L14" i="15"/>
  <c r="K14" i="15"/>
  <c r="H130" i="3" l="1"/>
  <c r="O26" i="15"/>
  <c r="L24" i="15"/>
  <c r="L15" i="15"/>
  <c r="K18" i="15"/>
  <c r="K21" i="15"/>
  <c r="N26" i="15"/>
  <c r="L18" i="15"/>
  <c r="L21" i="15"/>
  <c r="K15" i="15"/>
  <c r="K24" i="15"/>
  <c r="C97" i="15" l="1"/>
  <c r="C96" i="15"/>
  <c r="F95" i="15"/>
  <c r="E95" i="15"/>
  <c r="D95" i="15"/>
  <c r="D94" i="15"/>
  <c r="B91" i="15"/>
  <c r="G83" i="15"/>
  <c r="G84" i="15" s="1"/>
  <c r="F83" i="15"/>
  <c r="F84" i="15" s="1"/>
  <c r="E83" i="15"/>
  <c r="E84" i="15" s="1"/>
  <c r="C49" i="15"/>
  <c r="D18" i="15"/>
  <c r="D17" i="15"/>
  <c r="D16" i="15"/>
  <c r="AP66" i="14"/>
  <c r="AF66" i="14"/>
  <c r="V66" i="14"/>
  <c r="C228" i="14"/>
  <c r="C229" i="14"/>
  <c r="C230" i="14"/>
  <c r="C231" i="14"/>
  <c r="C232" i="14"/>
  <c r="C233" i="14"/>
  <c r="C234" i="14"/>
  <c r="C235" i="14"/>
  <c r="C236" i="14"/>
  <c r="C237" i="14"/>
  <c r="C227" i="14"/>
  <c r="G15" i="14" l="1"/>
  <c r="G16" i="14"/>
  <c r="G17" i="14"/>
  <c r="C9" i="14" s="1"/>
  <c r="G18" i="14"/>
  <c r="C10" i="14" s="1"/>
  <c r="G14" i="14"/>
  <c r="E170" i="14"/>
  <c r="E169" i="14"/>
  <c r="E165" i="14"/>
  <c r="D159" i="14"/>
  <c r="E167" i="14"/>
  <c r="D158" i="14"/>
  <c r="D167" i="14" s="1"/>
  <c r="E166" i="14"/>
  <c r="O88" i="14"/>
  <c r="G60" i="14"/>
  <c r="E57" i="14"/>
  <c r="C57" i="14"/>
  <c r="E54" i="14"/>
  <c r="C54" i="14"/>
  <c r="C53" i="14"/>
  <c r="C52" i="14"/>
  <c r="AG48" i="14"/>
  <c r="W48" i="14"/>
  <c r="K47" i="14"/>
  <c r="E53" i="14"/>
  <c r="E52" i="14"/>
  <c r="L40" i="14"/>
  <c r="W39" i="14"/>
  <c r="L39" i="14"/>
  <c r="M38" i="14"/>
  <c r="M134" i="14" s="1"/>
  <c r="L38" i="14"/>
  <c r="M37" i="14"/>
  <c r="M133" i="14" s="1"/>
  <c r="L37" i="14"/>
  <c r="L36" i="14"/>
  <c r="L35" i="14"/>
  <c r="M34" i="14"/>
  <c r="L34" i="14"/>
  <c r="M33" i="14"/>
  <c r="L33" i="14"/>
  <c r="AQ32" i="14"/>
  <c r="AQ48" i="14" s="1"/>
  <c r="AQ24" i="14"/>
  <c r="AG24" i="14"/>
  <c r="AQ23" i="14"/>
  <c r="AQ39" i="14" s="1"/>
  <c r="AG23" i="14"/>
  <c r="AG39" i="14" s="1"/>
  <c r="B29" i="14"/>
  <c r="D25" i="14"/>
  <c r="D24" i="14"/>
  <c r="D23" i="14"/>
  <c r="AQ44" i="10"/>
  <c r="AQ45" i="10"/>
  <c r="AQ48" i="10"/>
  <c r="AG44" i="10"/>
  <c r="AG45" i="10"/>
  <c r="AG48" i="10"/>
  <c r="W44" i="10"/>
  <c r="W45" i="10"/>
  <c r="W48" i="10"/>
  <c r="AQ29" i="10"/>
  <c r="AQ32" i="10"/>
  <c r="AQ28" i="10"/>
  <c r="AG29" i="10"/>
  <c r="AG32" i="10"/>
  <c r="AG28" i="10"/>
  <c r="W29" i="10"/>
  <c r="W32" i="10"/>
  <c r="W28" i="10"/>
  <c r="AQ23" i="10"/>
  <c r="AQ24" i="10"/>
  <c r="AG23" i="10"/>
  <c r="AG24" i="10"/>
  <c r="W23" i="10"/>
  <c r="W24" i="10"/>
  <c r="C8" i="14" l="1"/>
  <c r="K46" i="14"/>
  <c r="K45" i="14"/>
  <c r="K49" i="14"/>
  <c r="K48" i="14"/>
  <c r="F167" i="14"/>
  <c r="G167" i="14" s="1"/>
  <c r="H167" i="14" s="1"/>
  <c r="D168" i="14"/>
  <c r="E168" i="14"/>
  <c r="K51" i="14" l="1"/>
  <c r="E48" i="14" s="1"/>
  <c r="E56" i="14" s="1"/>
  <c r="F168" i="14"/>
  <c r="G168" i="14" s="1"/>
  <c r="H168" i="14" s="1"/>
  <c r="W28" i="14" s="1"/>
  <c r="W44" i="14" s="1"/>
  <c r="AG29" i="14"/>
  <c r="AG45" i="14" s="1"/>
  <c r="W29" i="14"/>
  <c r="W45" i="14" s="1"/>
  <c r="AQ29" i="14"/>
  <c r="AQ45" i="14" s="1"/>
  <c r="K50" i="14"/>
  <c r="E47" i="14" s="1"/>
  <c r="E55" i="14" s="1"/>
  <c r="AQ28" i="14" l="1"/>
  <c r="AQ44" i="14" s="1"/>
  <c r="AG28" i="14"/>
  <c r="AG44" i="14" s="1"/>
  <c r="F231" i="10" l="1"/>
  <c r="D230" i="10"/>
  <c r="D231" i="10"/>
  <c r="E231" i="10"/>
  <c r="C232" i="10"/>
  <c r="C233" i="10"/>
  <c r="C234" i="10"/>
  <c r="C235" i="10"/>
  <c r="C236" i="10"/>
  <c r="C237" i="10"/>
  <c r="C238" i="10"/>
  <c r="C239" i="10"/>
  <c r="C240" i="10"/>
  <c r="C241" i="10"/>
  <c r="C242" i="10"/>
  <c r="B227" i="10"/>
  <c r="G177" i="10"/>
  <c r="G178" i="10"/>
  <c r="F177" i="10"/>
  <c r="F178" i="10"/>
  <c r="E177" i="10"/>
  <c r="E178" i="10"/>
  <c r="O175" i="7"/>
  <c r="O176" i="7"/>
  <c r="S175" i="7"/>
  <c r="S176" i="7"/>
  <c r="R175" i="7"/>
  <c r="R176" i="7"/>
  <c r="AP32" i="7"/>
  <c r="V32" i="7"/>
  <c r="AP48" i="7"/>
  <c r="F164" i="10"/>
  <c r="G164" i="10"/>
  <c r="F165" i="10"/>
  <c r="G165" i="10"/>
  <c r="F167" i="10"/>
  <c r="G167" i="10"/>
  <c r="F168" i="10"/>
  <c r="G168" i="10"/>
  <c r="F169" i="10"/>
  <c r="G169" i="10"/>
  <c r="F170" i="10"/>
  <c r="G170" i="10"/>
  <c r="E165" i="10"/>
  <c r="E167" i="10"/>
  <c r="E168" i="10"/>
  <c r="E169" i="10"/>
  <c r="E170" i="10"/>
  <c r="D167" i="10"/>
  <c r="D177" i="10" s="1"/>
  <c r="D168" i="10"/>
  <c r="D178" i="10" s="1"/>
  <c r="E164" i="10"/>
  <c r="C64" i="10"/>
  <c r="C65" i="10"/>
  <c r="F49" i="10"/>
  <c r="F57" i="10" s="1"/>
  <c r="G49" i="10"/>
  <c r="G57" i="10" s="1"/>
  <c r="F46" i="10"/>
  <c r="F54" i="10" s="1"/>
  <c r="G46" i="10"/>
  <c r="G54" i="10" s="1"/>
  <c r="E46" i="10"/>
  <c r="E54" i="10" s="1"/>
  <c r="F45" i="10"/>
  <c r="F53" i="10" s="1"/>
  <c r="G45" i="10"/>
  <c r="G53" i="10" s="1"/>
  <c r="F44" i="10"/>
  <c r="F52" i="10" s="1"/>
  <c r="G44" i="10"/>
  <c r="G52" i="10" s="1"/>
  <c r="E44" i="10"/>
  <c r="E52" i="10" s="1"/>
  <c r="E37" i="10"/>
  <c r="E36" i="10"/>
  <c r="E35" i="10"/>
  <c r="E34" i="10"/>
  <c r="AQ39" i="10"/>
  <c r="AG39" i="10"/>
  <c r="AP66" i="9"/>
  <c r="V66" i="9"/>
  <c r="AF66" i="9"/>
  <c r="AQ48" i="9"/>
  <c r="AG48" i="9"/>
  <c r="W48" i="9"/>
  <c r="AQ32" i="9"/>
  <c r="AQ23" i="9"/>
  <c r="AQ24" i="9"/>
  <c r="AG23" i="9"/>
  <c r="AG39" i="9" s="1"/>
  <c r="AG24" i="9"/>
  <c r="N310" i="9"/>
  <c r="N311" i="9"/>
  <c r="N312" i="9"/>
  <c r="N313" i="9"/>
  <c r="N314" i="9"/>
  <c r="N315" i="9"/>
  <c r="N316" i="9"/>
  <c r="N317" i="9"/>
  <c r="N318" i="9"/>
  <c r="N319" i="9"/>
  <c r="N309" i="9"/>
  <c r="L294" i="9"/>
  <c r="M294" i="9"/>
  <c r="K294" i="9"/>
  <c r="H221" i="9"/>
  <c r="G221" i="9"/>
  <c r="F221" i="9"/>
  <c r="E221" i="9"/>
  <c r="E156" i="9"/>
  <c r="E166" i="9" s="1"/>
  <c r="E157" i="9"/>
  <c r="E160" i="9"/>
  <c r="E169" i="9" s="1"/>
  <c r="E161" i="9"/>
  <c r="E170" i="9" s="1"/>
  <c r="E155" i="9"/>
  <c r="E165" i="9" s="1"/>
  <c r="D159" i="9"/>
  <c r="E159" i="9" s="1"/>
  <c r="E168" i="9" s="1"/>
  <c r="D158" i="9"/>
  <c r="D167" i="9" s="1"/>
  <c r="I50" i="7"/>
  <c r="L40" i="9"/>
  <c r="L39" i="9"/>
  <c r="M37" i="9"/>
  <c r="K45" i="9" s="1"/>
  <c r="M38" i="9"/>
  <c r="K46" i="9" s="1"/>
  <c r="L38" i="9"/>
  <c r="L37" i="9"/>
  <c r="L36" i="9"/>
  <c r="M33" i="9"/>
  <c r="M34" i="9"/>
  <c r="L34" i="9"/>
  <c r="L33" i="9"/>
  <c r="E49" i="9"/>
  <c r="E45" i="9"/>
  <c r="E46" i="9"/>
  <c r="K47" i="9" s="1"/>
  <c r="E44" i="9"/>
  <c r="B23" i="9"/>
  <c r="D16" i="9"/>
  <c r="D16" i="10" s="1"/>
  <c r="D17" i="9"/>
  <c r="D17" i="10" s="1"/>
  <c r="D18" i="9"/>
  <c r="D18" i="10" s="1"/>
  <c r="AQ39" i="9"/>
  <c r="AF32" i="7"/>
  <c r="AF48" i="7" s="1"/>
  <c r="V48" i="7"/>
  <c r="AP23" i="7"/>
  <c r="AP39" i="7" s="1"/>
  <c r="AP24" i="7"/>
  <c r="AF23" i="7"/>
  <c r="AF39" i="7" s="1"/>
  <c r="AF24" i="7"/>
  <c r="U82" i="7"/>
  <c r="O88" i="9" s="1"/>
  <c r="G53" i="7"/>
  <c r="G54" i="7"/>
  <c r="G57" i="7"/>
  <c r="G52" i="7"/>
  <c r="F53" i="7"/>
  <c r="F54" i="7"/>
  <c r="F57" i="7"/>
  <c r="F52" i="7"/>
  <c r="D63" i="7"/>
  <c r="D64" i="7"/>
  <c r="N54" i="7"/>
  <c r="O52" i="7"/>
  <c r="O53" i="7" s="1"/>
  <c r="P52" i="7"/>
  <c r="P53" i="7" s="1"/>
  <c r="N52" i="7"/>
  <c r="N53" i="7" s="1"/>
  <c r="N55" i="7" s="1"/>
  <c r="E47" i="7" s="1"/>
  <c r="E47" i="10" s="1"/>
  <c r="E55" i="10" s="1"/>
  <c r="I51" i="7"/>
  <c r="M143" i="7"/>
  <c r="M142" i="7"/>
  <c r="I45" i="7"/>
  <c r="I39" i="7"/>
  <c r="L35" i="9" s="1"/>
  <c r="AQ44" i="13"/>
  <c r="AG44" i="13"/>
  <c r="W44" i="13"/>
  <c r="E158" i="13"/>
  <c r="E159" i="6"/>
  <c r="AQ30" i="13"/>
  <c r="AG30" i="13"/>
  <c r="W30" i="13"/>
  <c r="E160" i="13"/>
  <c r="B160" i="13"/>
  <c r="E159" i="13"/>
  <c r="B159" i="13"/>
  <c r="B158" i="13"/>
  <c r="E157" i="13"/>
  <c r="B157" i="13"/>
  <c r="E156" i="13"/>
  <c r="B156" i="13"/>
  <c r="D152" i="13"/>
  <c r="D160" i="13" s="1"/>
  <c r="F160" i="13" s="1"/>
  <c r="G160" i="13" s="1"/>
  <c r="H160" i="13" s="1"/>
  <c r="AQ43" i="13" s="1"/>
  <c r="D151" i="13"/>
  <c r="D159" i="13" s="1"/>
  <c r="D150" i="13"/>
  <c r="D158" i="13" s="1"/>
  <c r="D149" i="13"/>
  <c r="D157" i="13" s="1"/>
  <c r="D148" i="13"/>
  <c r="D156" i="13" s="1"/>
  <c r="D162" i="7"/>
  <c r="D83" i="15" s="1"/>
  <c r="D84" i="15" s="1"/>
  <c r="D163" i="7"/>
  <c r="D164" i="7"/>
  <c r="D166" i="10" s="1"/>
  <c r="D176" i="10" s="1"/>
  <c r="D167" i="7"/>
  <c r="D168" i="7"/>
  <c r="M171" i="7"/>
  <c r="O171" i="7"/>
  <c r="Q171" i="7"/>
  <c r="S171" i="7"/>
  <c r="B172" i="7"/>
  <c r="E172" i="7"/>
  <c r="F172" i="7"/>
  <c r="G172" i="7"/>
  <c r="B173" i="7"/>
  <c r="E173" i="7"/>
  <c r="F173" i="7"/>
  <c r="G173" i="7"/>
  <c r="B174" i="7"/>
  <c r="B175" i="7"/>
  <c r="D175" i="7"/>
  <c r="E175" i="7"/>
  <c r="F175" i="7"/>
  <c r="G175" i="7"/>
  <c r="B176" i="7"/>
  <c r="D176" i="7"/>
  <c r="E176" i="7"/>
  <c r="F176" i="7"/>
  <c r="G176" i="7"/>
  <c r="B177" i="7"/>
  <c r="E177" i="7"/>
  <c r="F177" i="7"/>
  <c r="G177" i="7"/>
  <c r="B178" i="7"/>
  <c r="E178" i="7"/>
  <c r="F178" i="7"/>
  <c r="G178" i="7"/>
  <c r="E35" i="13"/>
  <c r="F158" i="13" l="1"/>
  <c r="G158" i="13" s="1"/>
  <c r="H158" i="13" s="1"/>
  <c r="AQ41" i="13" s="1"/>
  <c r="F156" i="13"/>
  <c r="G156" i="13" s="1"/>
  <c r="H156" i="13" s="1"/>
  <c r="AG25" i="13" s="1"/>
  <c r="F157" i="13"/>
  <c r="G157" i="13" s="1"/>
  <c r="H157" i="13" s="1"/>
  <c r="AG26" i="13" s="1"/>
  <c r="AG43" i="13"/>
  <c r="F85" i="15"/>
  <c r="F87" i="15" s="1"/>
  <c r="AG20" i="15" s="1"/>
  <c r="AG24" i="15" s="1"/>
  <c r="G85" i="15"/>
  <c r="G87" i="15" s="1"/>
  <c r="AQ20" i="15" s="1"/>
  <c r="AQ24" i="15" s="1"/>
  <c r="E85" i="15"/>
  <c r="E87" i="15" s="1"/>
  <c r="W20" i="15" s="1"/>
  <c r="W24" i="15" s="1"/>
  <c r="O55" i="7"/>
  <c r="F47" i="7" s="1"/>
  <c r="F55" i="7" s="1"/>
  <c r="Q176" i="7"/>
  <c r="AP28" i="7" s="1"/>
  <c r="M175" i="7"/>
  <c r="N175" i="7" s="1"/>
  <c r="F47" i="10"/>
  <c r="F55" i="10" s="1"/>
  <c r="O54" i="7"/>
  <c r="O56" i="7" s="1"/>
  <c r="F48" i="7" s="1"/>
  <c r="AG27" i="13"/>
  <c r="AG41" i="13"/>
  <c r="W41" i="13"/>
  <c r="AQ27" i="13"/>
  <c r="D178" i="7"/>
  <c r="Q178" i="7" s="1"/>
  <c r="D170" i="10"/>
  <c r="D180" i="10" s="1"/>
  <c r="D172" i="7"/>
  <c r="M172" i="7" s="1"/>
  <c r="D164" i="10"/>
  <c r="D177" i="7"/>
  <c r="Q177" i="7" s="1"/>
  <c r="D169" i="10"/>
  <c r="D179" i="10" s="1"/>
  <c r="AG29" i="13"/>
  <c r="AQ29" i="13"/>
  <c r="W43" i="13"/>
  <c r="AQ39" i="13"/>
  <c r="AG39" i="13"/>
  <c r="W29" i="13"/>
  <c r="D173" i="7"/>
  <c r="M173" i="7" s="1"/>
  <c r="D165" i="10"/>
  <c r="D175" i="10" s="1"/>
  <c r="M133" i="9"/>
  <c r="M142" i="10" s="1"/>
  <c r="D168" i="9"/>
  <c r="E158" i="9"/>
  <c r="E167" i="9" s="1"/>
  <c r="M134" i="9"/>
  <c r="M143" i="10" s="1"/>
  <c r="K49" i="9"/>
  <c r="K51" i="9" s="1"/>
  <c r="E48" i="9" s="1"/>
  <c r="K48" i="9"/>
  <c r="K50" i="9" s="1"/>
  <c r="E47" i="9" s="1"/>
  <c r="E55" i="9" s="1"/>
  <c r="N56" i="7"/>
  <c r="E48" i="7" s="1"/>
  <c r="E48" i="10" s="1"/>
  <c r="E56" i="10" s="1"/>
  <c r="P55" i="7"/>
  <c r="G47" i="7" s="1"/>
  <c r="P54" i="7"/>
  <c r="P56" i="7" s="1"/>
  <c r="G48" i="7" s="1"/>
  <c r="I175" i="7"/>
  <c r="Q175" i="7"/>
  <c r="AP29" i="7" s="1"/>
  <c r="M176" i="7"/>
  <c r="N176" i="7" s="1"/>
  <c r="F159" i="13"/>
  <c r="G159" i="13" s="1"/>
  <c r="H159" i="13" s="1"/>
  <c r="I176" i="7"/>
  <c r="M52" i="13"/>
  <c r="M53" i="13"/>
  <c r="M54" i="13"/>
  <c r="M51" i="13"/>
  <c r="I52" i="13"/>
  <c r="I53" i="13"/>
  <c r="I54" i="13"/>
  <c r="I51" i="13"/>
  <c r="E51" i="13"/>
  <c r="B164" i="13"/>
  <c r="B182" i="7" s="1"/>
  <c r="E157" i="6"/>
  <c r="E158" i="6"/>
  <c r="E160" i="6"/>
  <c r="E161" i="6"/>
  <c r="B158" i="6"/>
  <c r="B159" i="6"/>
  <c r="B160" i="6"/>
  <c r="B161" i="6"/>
  <c r="B157" i="6"/>
  <c r="B77" i="13"/>
  <c r="B89" i="7" s="1"/>
  <c r="S64" i="13"/>
  <c r="S76" i="7" s="1"/>
  <c r="T64" i="13"/>
  <c r="T77" i="7" s="1"/>
  <c r="U64" i="13"/>
  <c r="U77" i="7" s="1"/>
  <c r="R65" i="13"/>
  <c r="R78" i="7" s="1"/>
  <c r="R66" i="13"/>
  <c r="R79" i="7" s="1"/>
  <c r="R67" i="13"/>
  <c r="R80" i="7" s="1"/>
  <c r="R68" i="13"/>
  <c r="R81" i="7" s="1"/>
  <c r="R69" i="13"/>
  <c r="R82" i="7" s="1"/>
  <c r="R62" i="13"/>
  <c r="R75" i="7" s="1"/>
  <c r="B58" i="13"/>
  <c r="B70" i="7" s="1"/>
  <c r="AQ36" i="13"/>
  <c r="AG36" i="13"/>
  <c r="AN44" i="6"/>
  <c r="AD44" i="6"/>
  <c r="D153" i="6"/>
  <c r="D152" i="6"/>
  <c r="D151" i="6"/>
  <c r="D157" i="14" s="1"/>
  <c r="D150" i="6"/>
  <c r="D149" i="6"/>
  <c r="J207" i="3"/>
  <c r="L207" i="3" s="1"/>
  <c r="J206" i="3"/>
  <c r="L206" i="3" s="1"/>
  <c r="J205" i="3"/>
  <c r="L205" i="3" s="1"/>
  <c r="J204" i="3"/>
  <c r="L204" i="3" s="1"/>
  <c r="J203" i="3"/>
  <c r="L203" i="3" s="1"/>
  <c r="J202" i="3"/>
  <c r="J200" i="3"/>
  <c r="L200" i="3" s="1"/>
  <c r="J199" i="3"/>
  <c r="L199" i="3" s="1"/>
  <c r="J198" i="3"/>
  <c r="J197" i="3"/>
  <c r="L197" i="3" s="1"/>
  <c r="J196" i="3"/>
  <c r="L196" i="3" s="1"/>
  <c r="J195" i="3"/>
  <c r="L195" i="3" s="1"/>
  <c r="J193" i="3"/>
  <c r="L193" i="3" s="1"/>
  <c r="J192" i="3"/>
  <c r="L192" i="3" s="1"/>
  <c r="J191" i="3"/>
  <c r="L191" i="3" s="1"/>
  <c r="J190" i="3"/>
  <c r="L190" i="3" s="1"/>
  <c r="J189" i="3"/>
  <c r="L189" i="3" s="1"/>
  <c r="J188" i="3"/>
  <c r="L188" i="3" s="1"/>
  <c r="J186" i="3"/>
  <c r="L186" i="3" s="1"/>
  <c r="J185" i="3"/>
  <c r="L185" i="3" s="1"/>
  <c r="J184" i="3"/>
  <c r="L184" i="3" s="1"/>
  <c r="J183" i="3"/>
  <c r="L183" i="3" s="1"/>
  <c r="J182" i="3"/>
  <c r="L182" i="3" s="1"/>
  <c r="J181" i="3"/>
  <c r="L181" i="3" s="1"/>
  <c r="N182" i="3"/>
  <c r="N183" i="3"/>
  <c r="N184" i="3"/>
  <c r="N185" i="3"/>
  <c r="N186" i="3"/>
  <c r="N181" i="3"/>
  <c r="N180" i="3"/>
  <c r="L202" i="3"/>
  <c r="L198" i="3"/>
  <c r="L180" i="3"/>
  <c r="J180" i="3"/>
  <c r="W78" i="3"/>
  <c r="Y78" i="3" s="1"/>
  <c r="R84" i="3"/>
  <c r="S84" i="3"/>
  <c r="T84" i="3"/>
  <c r="W84" i="3" s="1"/>
  <c r="Y84" i="3" s="1"/>
  <c r="U84" i="3"/>
  <c r="X84" i="3" s="1"/>
  <c r="Z84" i="3" s="1"/>
  <c r="R85" i="3"/>
  <c r="S85" i="3"/>
  <c r="T85" i="3"/>
  <c r="W85" i="3" s="1"/>
  <c r="Y85" i="3" s="1"/>
  <c r="U85" i="3"/>
  <c r="X85" i="3" s="1"/>
  <c r="Z85" i="3" s="1"/>
  <c r="R86" i="3"/>
  <c r="S86" i="3"/>
  <c r="T86" i="3"/>
  <c r="W86" i="3" s="1"/>
  <c r="Y86" i="3" s="1"/>
  <c r="U86" i="3"/>
  <c r="X86" i="3" s="1"/>
  <c r="Z86" i="3" s="1"/>
  <c r="R87" i="3"/>
  <c r="S87" i="3"/>
  <c r="T87" i="3"/>
  <c r="W87" i="3" s="1"/>
  <c r="Y87" i="3" s="1"/>
  <c r="U87" i="3"/>
  <c r="X87" i="3" s="1"/>
  <c r="Z87" i="3" s="1"/>
  <c r="R77" i="3"/>
  <c r="S77" i="3"/>
  <c r="AB77" i="3" s="1"/>
  <c r="AB81" i="3" s="1"/>
  <c r="T77" i="3"/>
  <c r="W77" i="3" s="1"/>
  <c r="Y77" i="3" s="1"/>
  <c r="U77" i="3"/>
  <c r="X77" i="3" s="1"/>
  <c r="Z77" i="3" s="1"/>
  <c r="R78" i="3"/>
  <c r="S78" i="3"/>
  <c r="AB78" i="3" s="1"/>
  <c r="T78" i="3"/>
  <c r="U78" i="3"/>
  <c r="X78" i="3" s="1"/>
  <c r="Z78" i="3" s="1"/>
  <c r="R79" i="3"/>
  <c r="S79" i="3"/>
  <c r="T79" i="3"/>
  <c r="W79" i="3" s="1"/>
  <c r="Y79" i="3" s="1"/>
  <c r="U79" i="3"/>
  <c r="X79" i="3" s="1"/>
  <c r="Z79" i="3" s="1"/>
  <c r="R80" i="3"/>
  <c r="S80" i="3"/>
  <c r="T80" i="3"/>
  <c r="W80" i="3" s="1"/>
  <c r="Y80" i="3" s="1"/>
  <c r="U80" i="3"/>
  <c r="X80" i="3" s="1"/>
  <c r="Z80" i="3" s="1"/>
  <c r="R81" i="3"/>
  <c r="S81" i="3"/>
  <c r="T81" i="3"/>
  <c r="W81" i="3" s="1"/>
  <c r="Y81" i="3" s="1"/>
  <c r="U81" i="3"/>
  <c r="X81" i="3" s="1"/>
  <c r="Z81" i="3" s="1"/>
  <c r="R82" i="3"/>
  <c r="S82" i="3"/>
  <c r="T82" i="3"/>
  <c r="W82" i="3" s="1"/>
  <c r="Y82" i="3" s="1"/>
  <c r="U82" i="3"/>
  <c r="X82" i="3" s="1"/>
  <c r="Z82" i="3" s="1"/>
  <c r="R83" i="3"/>
  <c r="S83" i="3"/>
  <c r="T83" i="3"/>
  <c r="W83" i="3" s="1"/>
  <c r="Y83" i="3" s="1"/>
  <c r="U83" i="3"/>
  <c r="X83" i="3" s="1"/>
  <c r="Z83" i="3" s="1"/>
  <c r="U75" i="3"/>
  <c r="X75" i="3" s="1"/>
  <c r="Z75" i="3" s="1"/>
  <c r="T75" i="3"/>
  <c r="W75" i="3" s="1"/>
  <c r="Y75" i="3" s="1"/>
  <c r="S76" i="3"/>
  <c r="AB76" i="3" s="1"/>
  <c r="AB80" i="3" s="1"/>
  <c r="W76" i="3"/>
  <c r="Y76" i="3" s="1"/>
  <c r="U76" i="3"/>
  <c r="X76" i="3" s="1"/>
  <c r="Z76" i="3" s="1"/>
  <c r="R76" i="3"/>
  <c r="O121" i="3"/>
  <c r="N126" i="3"/>
  <c r="J137" i="3"/>
  <c r="L137" i="3" s="1"/>
  <c r="J138" i="3"/>
  <c r="L138" i="3" s="1"/>
  <c r="J139" i="3"/>
  <c r="L139" i="3" s="1"/>
  <c r="J140" i="3"/>
  <c r="L140" i="3" s="1"/>
  <c r="J136" i="3"/>
  <c r="L136" i="3" s="1"/>
  <c r="J133" i="3"/>
  <c r="L133" i="3" s="1"/>
  <c r="J134" i="3"/>
  <c r="L134" i="3" s="1"/>
  <c r="J132" i="3"/>
  <c r="L132" i="3" s="1"/>
  <c r="L127" i="3"/>
  <c r="J128" i="3"/>
  <c r="L128" i="3" s="1"/>
  <c r="J122" i="3"/>
  <c r="L122" i="3" s="1"/>
  <c r="J123" i="3"/>
  <c r="L123" i="3" s="1"/>
  <c r="J124" i="3"/>
  <c r="L124" i="3" s="1"/>
  <c r="J125" i="3"/>
  <c r="L125" i="3" s="1"/>
  <c r="J121" i="3"/>
  <c r="L121" i="3" s="1"/>
  <c r="N94" i="3"/>
  <c r="N122" i="3" s="1"/>
  <c r="N95" i="3"/>
  <c r="N123" i="3" s="1"/>
  <c r="N96" i="3"/>
  <c r="N124" i="3" s="1"/>
  <c r="N97" i="3"/>
  <c r="N125" i="3" s="1"/>
  <c r="N93" i="3"/>
  <c r="N121" i="3" s="1"/>
  <c r="J115" i="3"/>
  <c r="L115" i="3" s="1"/>
  <c r="J116" i="3"/>
  <c r="L116" i="3" s="1"/>
  <c r="J117" i="3"/>
  <c r="L117" i="3" s="1"/>
  <c r="J118" i="3"/>
  <c r="L118" i="3" s="1"/>
  <c r="J119" i="3"/>
  <c r="L119" i="3" s="1"/>
  <c r="J114" i="3"/>
  <c r="L114" i="3" s="1"/>
  <c r="J108" i="3"/>
  <c r="L108" i="3" s="1"/>
  <c r="J109" i="3"/>
  <c r="L109" i="3" s="1"/>
  <c r="J110" i="3"/>
  <c r="L110" i="3" s="1"/>
  <c r="J111" i="3"/>
  <c r="L111" i="3" s="1"/>
  <c r="J112" i="3"/>
  <c r="L112" i="3" s="1"/>
  <c r="J107" i="3"/>
  <c r="L107" i="3" s="1"/>
  <c r="J101" i="3"/>
  <c r="L101" i="3" s="1"/>
  <c r="J102" i="3"/>
  <c r="L102" i="3" s="1"/>
  <c r="J103" i="3"/>
  <c r="L103" i="3" s="1"/>
  <c r="J104" i="3"/>
  <c r="L104" i="3" s="1"/>
  <c r="J105" i="3"/>
  <c r="L105" i="3" s="1"/>
  <c r="J100" i="3"/>
  <c r="L100" i="3" s="1"/>
  <c r="J94" i="3"/>
  <c r="L94" i="3" s="1"/>
  <c r="J95" i="3"/>
  <c r="L95" i="3" s="1"/>
  <c r="J96" i="3"/>
  <c r="L96" i="3" s="1"/>
  <c r="J97" i="3"/>
  <c r="L97" i="3" s="1"/>
  <c r="J98" i="3"/>
  <c r="L98" i="3" s="1"/>
  <c r="J93" i="3"/>
  <c r="L93" i="3" s="1"/>
  <c r="L84" i="9" l="1"/>
  <c r="L93" i="10" s="1"/>
  <c r="N35" i="15" s="1"/>
  <c r="L84" i="14"/>
  <c r="L87" i="9"/>
  <c r="L96" i="10" s="1"/>
  <c r="N38" i="15" s="1"/>
  <c r="L87" i="14"/>
  <c r="B60" i="9"/>
  <c r="B70" i="10" s="1"/>
  <c r="B60" i="14"/>
  <c r="L86" i="9"/>
  <c r="L95" i="10" s="1"/>
  <c r="N37" i="15" s="1"/>
  <c r="L86" i="14"/>
  <c r="N83" i="9"/>
  <c r="N92" i="10" s="1"/>
  <c r="P34" i="15" s="1"/>
  <c r="N83" i="14"/>
  <c r="B174" i="9"/>
  <c r="B184" i="10" s="1"/>
  <c r="B174" i="14"/>
  <c r="L88" i="9"/>
  <c r="L97" i="10" s="1"/>
  <c r="N39" i="15" s="1"/>
  <c r="L88" i="14"/>
  <c r="B80" i="9"/>
  <c r="B89" i="10" s="1"/>
  <c r="B80" i="14"/>
  <c r="O83" i="9"/>
  <c r="O92" i="10" s="1"/>
  <c r="Q34" i="15" s="1"/>
  <c r="O83" i="14"/>
  <c r="L81" i="9"/>
  <c r="L90" i="10" s="1"/>
  <c r="N32" i="15" s="1"/>
  <c r="L81" i="14"/>
  <c r="L85" i="9"/>
  <c r="L94" i="10" s="1"/>
  <c r="N36" i="15" s="1"/>
  <c r="L85" i="14"/>
  <c r="M82" i="9"/>
  <c r="M91" i="10" s="1"/>
  <c r="O33" i="15" s="1"/>
  <c r="M82" i="14"/>
  <c r="AQ26" i="13"/>
  <c r="W39" i="13"/>
  <c r="W27" i="13"/>
  <c r="AG40" i="13"/>
  <c r="W26" i="13"/>
  <c r="W40" i="13"/>
  <c r="W25" i="13"/>
  <c r="AQ25" i="13"/>
  <c r="AQ40" i="13"/>
  <c r="O122" i="3"/>
  <c r="O93" i="3"/>
  <c r="O126" i="3"/>
  <c r="O184" i="3"/>
  <c r="Q172" i="7"/>
  <c r="R172" i="7" s="1"/>
  <c r="S172" i="7" s="1"/>
  <c r="AP26" i="7" s="1"/>
  <c r="O124" i="3"/>
  <c r="D156" i="9"/>
  <c r="D166" i="9" s="1"/>
  <c r="D156" i="14"/>
  <c r="D166" i="14" s="1"/>
  <c r="F166" i="14" s="1"/>
  <c r="G166" i="14" s="1"/>
  <c r="H166" i="14" s="1"/>
  <c r="AC76" i="3"/>
  <c r="O125" i="3"/>
  <c r="D155" i="9"/>
  <c r="D165" i="9" s="1"/>
  <c r="D155" i="14"/>
  <c r="D165" i="14" s="1"/>
  <c r="F165" i="14" s="1"/>
  <c r="G165" i="14" s="1"/>
  <c r="H165" i="14" s="1"/>
  <c r="D161" i="9"/>
  <c r="D170" i="9" s="1"/>
  <c r="D161" i="14"/>
  <c r="D170" i="14" s="1"/>
  <c r="F170" i="14" s="1"/>
  <c r="G170" i="14" s="1"/>
  <c r="H170" i="14" s="1"/>
  <c r="O123" i="3"/>
  <c r="R177" i="7"/>
  <c r="S177" i="7" s="1"/>
  <c r="AP30" i="7" s="1"/>
  <c r="R178" i="7"/>
  <c r="S178" i="7" s="1"/>
  <c r="AP31" i="7" s="1"/>
  <c r="AP47" i="7" s="1"/>
  <c r="AC77" i="3"/>
  <c r="D160" i="9"/>
  <c r="D169" i="9" s="1"/>
  <c r="D160" i="14"/>
  <c r="D169" i="14" s="1"/>
  <c r="F169" i="14" s="1"/>
  <c r="G169" i="14" s="1"/>
  <c r="H169" i="14" s="1"/>
  <c r="O97" i="3"/>
  <c r="O96" i="3"/>
  <c r="O95" i="3"/>
  <c r="O98" i="3"/>
  <c r="O94" i="3"/>
  <c r="AD77" i="3"/>
  <c r="AD78" i="3"/>
  <c r="AC78" i="3"/>
  <c r="AD76" i="3"/>
  <c r="AE76" i="3" s="1"/>
  <c r="N173" i="7"/>
  <c r="O173" i="7" s="1"/>
  <c r="AF27" i="7" s="1"/>
  <c r="AF43" i="7" s="1"/>
  <c r="Q173" i="7"/>
  <c r="N172" i="7"/>
  <c r="AF29" i="7"/>
  <c r="AF45" i="7" s="1"/>
  <c r="M177" i="7"/>
  <c r="J175" i="7"/>
  <c r="K175" i="7" s="1"/>
  <c r="V29" i="7" s="1"/>
  <c r="V45" i="7" s="1"/>
  <c r="J176" i="7"/>
  <c r="K176" i="7" s="1"/>
  <c r="V28" i="7" s="1"/>
  <c r="V44" i="7" s="1"/>
  <c r="AF28" i="7"/>
  <c r="AF44" i="7" s="1"/>
  <c r="I172" i="7"/>
  <c r="I173" i="7"/>
  <c r="F48" i="10"/>
  <c r="F56" i="10" s="1"/>
  <c r="F56" i="7"/>
  <c r="G48" i="10"/>
  <c r="G56" i="10" s="1"/>
  <c r="G56" i="7"/>
  <c r="I177" i="7"/>
  <c r="G55" i="7"/>
  <c r="G47" i="10"/>
  <c r="G55" i="10" s="1"/>
  <c r="W28" i="13"/>
  <c r="W42" i="13"/>
  <c r="AQ28" i="13"/>
  <c r="AG28" i="13"/>
  <c r="AQ42" i="13"/>
  <c r="AG42" i="13"/>
  <c r="I178" i="7"/>
  <c r="M178" i="7"/>
  <c r="D157" i="9"/>
  <c r="D159" i="6"/>
  <c r="F159" i="6" s="1"/>
  <c r="O186" i="3"/>
  <c r="O185" i="3"/>
  <c r="O183" i="3"/>
  <c r="O182" i="3"/>
  <c r="O181" i="3"/>
  <c r="O128" i="3" l="1"/>
  <c r="P121" i="3" s="1"/>
  <c r="H152" i="3" s="1"/>
  <c r="H137" i="6" s="1"/>
  <c r="H137" i="13" s="1"/>
  <c r="H151" i="7" s="1"/>
  <c r="W27" i="14"/>
  <c r="W43" i="14" s="1"/>
  <c r="AQ27" i="14"/>
  <c r="AQ43" i="14" s="1"/>
  <c r="AG27" i="14"/>
  <c r="AG43" i="14" s="1"/>
  <c r="R173" i="7"/>
  <c r="S173" i="7" s="1"/>
  <c r="AP27" i="7" s="1"/>
  <c r="AQ30" i="14"/>
  <c r="AQ46" i="14" s="1"/>
  <c r="W30" i="14"/>
  <c r="W46" i="14" s="1"/>
  <c r="AG30" i="14"/>
  <c r="AG46" i="14" s="1"/>
  <c r="F175" i="10"/>
  <c r="AG27" i="10" s="1"/>
  <c r="AG43" i="10" s="1"/>
  <c r="G175" i="10"/>
  <c r="AQ27" i="10" s="1"/>
  <c r="AQ43" i="10" s="1"/>
  <c r="AG26" i="14"/>
  <c r="AG42" i="14" s="1"/>
  <c r="W26" i="14"/>
  <c r="W42" i="14" s="1"/>
  <c r="AQ26" i="14"/>
  <c r="AQ42" i="14" s="1"/>
  <c r="G159" i="6"/>
  <c r="H159" i="6" s="1"/>
  <c r="AD41" i="6" s="1"/>
  <c r="O172" i="7"/>
  <c r="AF26" i="7" s="1"/>
  <c r="AF42" i="7" s="1"/>
  <c r="AD81" i="3"/>
  <c r="AQ31" i="14"/>
  <c r="AQ47" i="14" s="1"/>
  <c r="W31" i="14"/>
  <c r="W47" i="14" s="1"/>
  <c r="AG31" i="14"/>
  <c r="AG47" i="14" s="1"/>
  <c r="O100" i="3"/>
  <c r="P93" i="3" s="1"/>
  <c r="H144" i="3" s="1"/>
  <c r="H129" i="6" s="1"/>
  <c r="H129" i="13" s="1"/>
  <c r="H141" i="7" s="1"/>
  <c r="P97" i="3"/>
  <c r="H147" i="3" s="1"/>
  <c r="H132" i="6" s="1"/>
  <c r="H132" i="13" s="1"/>
  <c r="H146" i="7" s="1"/>
  <c r="H137" i="14" s="1"/>
  <c r="AD80" i="3"/>
  <c r="AE78" i="3"/>
  <c r="AE77" i="3"/>
  <c r="AC80" i="3"/>
  <c r="AC81" i="3"/>
  <c r="N178" i="7"/>
  <c r="N177" i="7"/>
  <c r="O177" i="7" s="1"/>
  <c r="J177" i="7"/>
  <c r="K177" i="7" s="1"/>
  <c r="J173" i="7"/>
  <c r="K173" i="7" s="1"/>
  <c r="J178" i="7"/>
  <c r="K178" i="7" s="1"/>
  <c r="J172" i="7"/>
  <c r="K172" i="7" s="1"/>
  <c r="O188" i="3"/>
  <c r="P182" i="3" s="1"/>
  <c r="H211" i="3" s="1"/>
  <c r="P125" i="3" l="1"/>
  <c r="H155" i="3" s="1"/>
  <c r="H140" i="6" s="1"/>
  <c r="H140" i="13" s="1"/>
  <c r="H156" i="7" s="1"/>
  <c r="H147" i="9" s="1"/>
  <c r="H156" i="10" s="1"/>
  <c r="P126" i="3"/>
  <c r="H156" i="3" s="1"/>
  <c r="H141" i="6" s="1"/>
  <c r="H141" i="13" s="1"/>
  <c r="H157" i="7" s="1"/>
  <c r="P124" i="3"/>
  <c r="H151" i="3" s="1"/>
  <c r="H136" i="6" s="1"/>
  <c r="H136" i="13" s="1"/>
  <c r="H150" i="7" s="1"/>
  <c r="H141" i="14" s="1"/>
  <c r="P122" i="3"/>
  <c r="H153" i="3" s="1"/>
  <c r="H138" i="6" s="1"/>
  <c r="H138" i="13" s="1"/>
  <c r="H152" i="7" s="1"/>
  <c r="P123" i="3"/>
  <c r="H154" i="3" s="1"/>
  <c r="H139" i="6" s="1"/>
  <c r="H139" i="13" s="1"/>
  <c r="H155" i="7" s="1"/>
  <c r="AE81" i="3"/>
  <c r="I71" i="3" s="1"/>
  <c r="V30" i="7"/>
  <c r="V46" i="7" s="1"/>
  <c r="E179" i="10"/>
  <c r="W30" i="10" s="1"/>
  <c r="W46" i="10" s="1"/>
  <c r="V26" i="7"/>
  <c r="V42" i="7" s="1"/>
  <c r="E174" i="10"/>
  <c r="W26" i="10" s="1"/>
  <c r="W42" i="10" s="1"/>
  <c r="F179" i="10"/>
  <c r="AG30" i="10" s="1"/>
  <c r="AG46" i="10" s="1"/>
  <c r="G179" i="10"/>
  <c r="AQ30" i="10" s="1"/>
  <c r="AQ46" i="10" s="1"/>
  <c r="P95" i="3"/>
  <c r="H146" i="3" s="1"/>
  <c r="H131" i="6" s="1"/>
  <c r="H131" i="13" s="1"/>
  <c r="H145" i="7" s="1"/>
  <c r="H136" i="14" s="1"/>
  <c r="V31" i="7"/>
  <c r="V47" i="7" s="1"/>
  <c r="E180" i="10"/>
  <c r="W31" i="10" s="1"/>
  <c r="W47" i="10" s="1"/>
  <c r="V27" i="7"/>
  <c r="V43" i="7" s="1"/>
  <c r="E175" i="10"/>
  <c r="W27" i="10" s="1"/>
  <c r="W43" i="10" s="1"/>
  <c r="O178" i="7"/>
  <c r="AF31" i="7" s="1"/>
  <c r="AF47" i="7" s="1"/>
  <c r="P94" i="3"/>
  <c r="H145" i="3" s="1"/>
  <c r="H130" i="6" s="1"/>
  <c r="H130" i="13" s="1"/>
  <c r="H142" i="7" s="1"/>
  <c r="H133" i="14" s="1"/>
  <c r="AN27" i="6"/>
  <c r="AN41" i="6"/>
  <c r="AD27" i="6"/>
  <c r="AF30" i="7"/>
  <c r="AF46" i="7" s="1"/>
  <c r="P96" i="3"/>
  <c r="H143" i="3" s="1"/>
  <c r="H128" i="6" s="1"/>
  <c r="H128" i="13" s="1"/>
  <c r="H140" i="7" s="1"/>
  <c r="F174" i="10"/>
  <c r="AG26" i="10" s="1"/>
  <c r="AG42" i="10" s="1"/>
  <c r="G174" i="10"/>
  <c r="AQ26" i="10" s="1"/>
  <c r="AQ42" i="10" s="1"/>
  <c r="H142" i="9"/>
  <c r="H151" i="10" s="1"/>
  <c r="H142" i="14"/>
  <c r="P98" i="3"/>
  <c r="H148" i="3" s="1"/>
  <c r="H133" i="6" s="1"/>
  <c r="H133" i="13" s="1"/>
  <c r="H147" i="7" s="1"/>
  <c r="H138" i="14" s="1"/>
  <c r="H137" i="9"/>
  <c r="H146" i="10" s="1"/>
  <c r="H132" i="9"/>
  <c r="H141" i="10" s="1"/>
  <c r="H132" i="14"/>
  <c r="I71" i="6"/>
  <c r="L71" i="3"/>
  <c r="AE80" i="3"/>
  <c r="I72" i="3" s="1"/>
  <c r="P185" i="3"/>
  <c r="H214" i="3" s="1"/>
  <c r="P184" i="3"/>
  <c r="H213" i="3" s="1"/>
  <c r="P183" i="3"/>
  <c r="H212" i="3" s="1"/>
  <c r="P186" i="3"/>
  <c r="H215" i="3" s="1"/>
  <c r="P181" i="3"/>
  <c r="H210" i="3" s="1"/>
  <c r="H133" i="9" l="1"/>
  <c r="H142" i="10" s="1"/>
  <c r="H143" i="7"/>
  <c r="H134" i="14" s="1"/>
  <c r="H138" i="9"/>
  <c r="H147" i="10" s="1"/>
  <c r="H134" i="9"/>
  <c r="H143" i="10" s="1"/>
  <c r="H147" i="14"/>
  <c r="P128" i="3"/>
  <c r="H146" i="9"/>
  <c r="H155" i="10" s="1"/>
  <c r="H146" i="14"/>
  <c r="H148" i="9"/>
  <c r="H157" i="10" s="1"/>
  <c r="H148" i="14"/>
  <c r="H141" i="9"/>
  <c r="H150" i="10" s="1"/>
  <c r="H143" i="14"/>
  <c r="H143" i="9"/>
  <c r="H152" i="10" s="1"/>
  <c r="H134" i="13"/>
  <c r="H136" i="9"/>
  <c r="H145" i="10" s="1"/>
  <c r="P100" i="3"/>
  <c r="F180" i="10"/>
  <c r="AG31" i="10" s="1"/>
  <c r="AG47" i="10" s="1"/>
  <c r="G180" i="10"/>
  <c r="AQ31" i="10" s="1"/>
  <c r="AQ47" i="10" s="1"/>
  <c r="H131" i="9"/>
  <c r="H140" i="10" s="1"/>
  <c r="H131" i="14"/>
  <c r="I72" i="6"/>
  <c r="L72" i="3"/>
  <c r="L71" i="6"/>
  <c r="L71" i="13" s="1"/>
  <c r="L83" i="7" s="1"/>
  <c r="I71" i="13"/>
  <c r="I83" i="7" s="1"/>
  <c r="B122" i="6"/>
  <c r="B122" i="13" s="1"/>
  <c r="B134" i="7" s="1"/>
  <c r="B123" i="6"/>
  <c r="B123" i="13" s="1"/>
  <c r="B135" i="7" s="1"/>
  <c r="B124" i="6"/>
  <c r="B124" i="13" s="1"/>
  <c r="B136" i="7" s="1"/>
  <c r="B125" i="6"/>
  <c r="B125" i="13" s="1"/>
  <c r="B137" i="7" s="1"/>
  <c r="B121" i="6"/>
  <c r="B121" i="13" s="1"/>
  <c r="B133" i="7" s="1"/>
  <c r="B118" i="6"/>
  <c r="B118" i="13" s="1"/>
  <c r="B130" i="7" s="1"/>
  <c r="B119" i="6"/>
  <c r="B119" i="13" s="1"/>
  <c r="B131" i="7" s="1"/>
  <c r="B117" i="6"/>
  <c r="B117" i="13" s="1"/>
  <c r="B129" i="7" s="1"/>
  <c r="B115" i="6"/>
  <c r="B115" i="13" s="1"/>
  <c r="B127" i="7" s="1"/>
  <c r="B114" i="6"/>
  <c r="B114" i="13" s="1"/>
  <c r="B126" i="7" s="1"/>
  <c r="B109" i="6"/>
  <c r="B109" i="13" s="1"/>
  <c r="B121" i="7" s="1"/>
  <c r="B110" i="6"/>
  <c r="B110" i="13" s="1"/>
  <c r="B122" i="7" s="1"/>
  <c r="B111" i="6"/>
  <c r="B111" i="13" s="1"/>
  <c r="B123" i="7" s="1"/>
  <c r="B112" i="6"/>
  <c r="B112" i="13" s="1"/>
  <c r="B124" i="7" s="1"/>
  <c r="B108" i="6"/>
  <c r="B108" i="13" s="1"/>
  <c r="B120" i="7" s="1"/>
  <c r="B102" i="6"/>
  <c r="B102" i="13" s="1"/>
  <c r="B114" i="7" s="1"/>
  <c r="B103" i="6"/>
  <c r="B103" i="13" s="1"/>
  <c r="B115" i="7" s="1"/>
  <c r="B104" i="6"/>
  <c r="B104" i="13" s="1"/>
  <c r="B116" i="7" s="1"/>
  <c r="B105" i="6"/>
  <c r="B105" i="13" s="1"/>
  <c r="B117" i="7" s="1"/>
  <c r="B106" i="6"/>
  <c r="B106" i="13" s="1"/>
  <c r="B118" i="7" s="1"/>
  <c r="B101" i="6"/>
  <c r="B101" i="13" s="1"/>
  <c r="B113" i="7" s="1"/>
  <c r="B95" i="6"/>
  <c r="B95" i="13" s="1"/>
  <c r="B107" i="7" s="1"/>
  <c r="B96" i="6"/>
  <c r="B96" i="13" s="1"/>
  <c r="B108" i="7" s="1"/>
  <c r="B97" i="6"/>
  <c r="B97" i="13" s="1"/>
  <c r="B109" i="7" s="1"/>
  <c r="B98" i="6"/>
  <c r="B98" i="13" s="1"/>
  <c r="B110" i="7" s="1"/>
  <c r="B99" i="6"/>
  <c r="B99" i="13" s="1"/>
  <c r="B111" i="7" s="1"/>
  <c r="B94" i="6"/>
  <c r="B94" i="13" s="1"/>
  <c r="B106" i="7" s="1"/>
  <c r="B88" i="6"/>
  <c r="B88" i="13" s="1"/>
  <c r="B100" i="7" s="1"/>
  <c r="B89" i="6"/>
  <c r="B89" i="13" s="1"/>
  <c r="B101" i="7" s="1"/>
  <c r="B90" i="6"/>
  <c r="B90" i="13" s="1"/>
  <c r="B102" i="7" s="1"/>
  <c r="B91" i="6"/>
  <c r="B91" i="13" s="1"/>
  <c r="B103" i="7" s="1"/>
  <c r="B92" i="6"/>
  <c r="B92" i="13" s="1"/>
  <c r="B104" i="7" s="1"/>
  <c r="B87" i="6"/>
  <c r="B87" i="13" s="1"/>
  <c r="B99" i="7" s="1"/>
  <c r="B81" i="6"/>
  <c r="B81" i="13" s="1"/>
  <c r="B93" i="7" s="1"/>
  <c r="B82" i="6"/>
  <c r="B82" i="13" s="1"/>
  <c r="B94" i="7" s="1"/>
  <c r="B83" i="6"/>
  <c r="B83" i="13" s="1"/>
  <c r="B95" i="7" s="1"/>
  <c r="B84" i="6"/>
  <c r="B84" i="13" s="1"/>
  <c r="B96" i="7" s="1"/>
  <c r="B85" i="6"/>
  <c r="B85" i="13" s="1"/>
  <c r="B97" i="7" s="1"/>
  <c r="B80" i="6"/>
  <c r="B80" i="13" s="1"/>
  <c r="B92" i="7" s="1"/>
  <c r="AN22" i="6"/>
  <c r="AN23" i="6"/>
  <c r="D45" i="6"/>
  <c r="D45" i="14" s="1"/>
  <c r="D53" i="14" s="1"/>
  <c r="F53" i="14" s="1"/>
  <c r="G53" i="14" s="1"/>
  <c r="D46" i="6"/>
  <c r="D46" i="14" s="1"/>
  <c r="D54" i="14" s="1"/>
  <c r="F54" i="14" s="1"/>
  <c r="G54" i="14" s="1"/>
  <c r="D47" i="6"/>
  <c r="D49" i="14" s="1"/>
  <c r="D57" i="14" s="1"/>
  <c r="F57" i="14" s="1"/>
  <c r="G57" i="14" s="1"/>
  <c r="D44" i="6"/>
  <c r="D44" i="14" s="1"/>
  <c r="D52" i="14" s="1"/>
  <c r="F52" i="14" s="1"/>
  <c r="G52" i="14" s="1"/>
  <c r="U70" i="3"/>
  <c r="S70" i="3"/>
  <c r="T66" i="3" s="1"/>
  <c r="T66" i="6" s="1"/>
  <c r="T65" i="13" s="1"/>
  <c r="T78" i="7" s="1"/>
  <c r="H197" i="6"/>
  <c r="H196" i="13" s="1"/>
  <c r="H214" i="7" s="1"/>
  <c r="H198" i="6"/>
  <c r="H197" i="13" s="1"/>
  <c r="H215" i="7" s="1"/>
  <c r="H207" i="14" s="1"/>
  <c r="H199" i="6"/>
  <c r="H198" i="13" s="1"/>
  <c r="H218" i="7" s="1"/>
  <c r="H200" i="6"/>
  <c r="H199" i="13" s="1"/>
  <c r="H219" i="7" s="1"/>
  <c r="H201" i="6"/>
  <c r="H200" i="13" s="1"/>
  <c r="H220" i="7" s="1"/>
  <c r="H196" i="6"/>
  <c r="H195" i="13" s="1"/>
  <c r="H213" i="7" s="1"/>
  <c r="C189" i="6"/>
  <c r="C188" i="13" s="1"/>
  <c r="C206" i="7" s="1"/>
  <c r="C190" i="6"/>
  <c r="C189" i="13" s="1"/>
  <c r="C207" i="7" s="1"/>
  <c r="C191" i="6"/>
  <c r="C190" i="13" s="1"/>
  <c r="C208" i="7" s="1"/>
  <c r="C192" i="6"/>
  <c r="C191" i="13" s="1"/>
  <c r="C209" i="7" s="1"/>
  <c r="C193" i="6"/>
  <c r="C192" i="13" s="1"/>
  <c r="C210" i="7" s="1"/>
  <c r="C188" i="6"/>
  <c r="C187" i="13" s="1"/>
  <c r="C205" i="7" s="1"/>
  <c r="C182" i="6"/>
  <c r="C181" i="13" s="1"/>
  <c r="C199" i="7" s="1"/>
  <c r="C183" i="6"/>
  <c r="C182" i="13" s="1"/>
  <c r="C200" i="7" s="1"/>
  <c r="C184" i="6"/>
  <c r="C183" i="13" s="1"/>
  <c r="C201" i="7" s="1"/>
  <c r="C185" i="6"/>
  <c r="C184" i="13" s="1"/>
  <c r="C202" i="7" s="1"/>
  <c r="C186" i="6"/>
  <c r="C185" i="13" s="1"/>
  <c r="C203" i="7" s="1"/>
  <c r="C181" i="6"/>
  <c r="C180" i="13" s="1"/>
  <c r="C198" i="7" s="1"/>
  <c r="C175" i="6"/>
  <c r="C174" i="13" s="1"/>
  <c r="C192" i="7" s="1"/>
  <c r="C176" i="6"/>
  <c r="C175" i="13" s="1"/>
  <c r="C193" i="7" s="1"/>
  <c r="C177" i="6"/>
  <c r="C176" i="13" s="1"/>
  <c r="C194" i="7" s="1"/>
  <c r="C178" i="6"/>
  <c r="C177" i="13" s="1"/>
  <c r="C195" i="7" s="1"/>
  <c r="C179" i="6"/>
  <c r="C178" i="13" s="1"/>
  <c r="C196" i="7" s="1"/>
  <c r="C174" i="6"/>
  <c r="C173" i="13" s="1"/>
  <c r="C191" i="7" s="1"/>
  <c r="C168" i="6"/>
  <c r="C167" i="13" s="1"/>
  <c r="C185" i="7" s="1"/>
  <c r="C169" i="6"/>
  <c r="C168" i="13" s="1"/>
  <c r="C186" i="7" s="1"/>
  <c r="C170" i="6"/>
  <c r="C169" i="13" s="1"/>
  <c r="C187" i="7" s="1"/>
  <c r="C171" i="6"/>
  <c r="C170" i="13" s="1"/>
  <c r="C188" i="7" s="1"/>
  <c r="C172" i="6"/>
  <c r="C171" i="13" s="1"/>
  <c r="C189" i="7" s="1"/>
  <c r="C167" i="6"/>
  <c r="C166" i="13" s="1"/>
  <c r="C184" i="7" s="1"/>
  <c r="U67" i="6"/>
  <c r="U66" i="13" s="1"/>
  <c r="U79" i="7" s="1"/>
  <c r="U68" i="6"/>
  <c r="U67" i="13" s="1"/>
  <c r="U80" i="7" s="1"/>
  <c r="U69" i="6"/>
  <c r="U68" i="13" s="1"/>
  <c r="U81" i="7" s="1"/>
  <c r="U66" i="6"/>
  <c r="U65" i="13" s="1"/>
  <c r="U78" i="7" s="1"/>
  <c r="S67" i="6"/>
  <c r="S66" i="13" s="1"/>
  <c r="S79" i="7" s="1"/>
  <c r="S68" i="6"/>
  <c r="S67" i="13" s="1"/>
  <c r="S80" i="7" s="1"/>
  <c r="S69" i="6"/>
  <c r="S68" i="13" s="1"/>
  <c r="S81" i="7" s="1"/>
  <c r="S66" i="6"/>
  <c r="S65" i="13" s="1"/>
  <c r="S78" i="7" s="1"/>
  <c r="E59" i="6"/>
  <c r="E59" i="13" s="1"/>
  <c r="E71" i="7" s="1"/>
  <c r="E60" i="6"/>
  <c r="E60" i="13" s="1"/>
  <c r="E72" i="7" s="1"/>
  <c r="E61" i="6"/>
  <c r="E61" i="13" s="1"/>
  <c r="E73" i="7" s="1"/>
  <c r="E62" i="6"/>
  <c r="E62" i="13" s="1"/>
  <c r="E74" i="7" s="1"/>
  <c r="E63" i="6"/>
  <c r="E63" i="13" s="1"/>
  <c r="E75" i="7" s="1"/>
  <c r="E64" i="6"/>
  <c r="E64" i="13" s="1"/>
  <c r="E76" i="7" s="1"/>
  <c r="E65" i="6"/>
  <c r="E65" i="13" s="1"/>
  <c r="E77" i="7" s="1"/>
  <c r="E66" i="6"/>
  <c r="E66" i="13" s="1"/>
  <c r="E78" i="7" s="1"/>
  <c r="E67" i="6"/>
  <c r="E67" i="13" s="1"/>
  <c r="E79" i="7" s="1"/>
  <c r="E68" i="6"/>
  <c r="E68" i="13" s="1"/>
  <c r="E80" i="7" s="1"/>
  <c r="E69" i="6"/>
  <c r="E69" i="13" s="1"/>
  <c r="E81" i="7" s="1"/>
  <c r="E70" i="6"/>
  <c r="E70" i="13" s="1"/>
  <c r="E82" i="7" s="1"/>
  <c r="D60" i="6"/>
  <c r="D60" i="13" s="1"/>
  <c r="D72" i="7" s="1"/>
  <c r="D61" i="6"/>
  <c r="D61" i="13" s="1"/>
  <c r="D73" i="7" s="1"/>
  <c r="D62" i="6"/>
  <c r="D62" i="13" s="1"/>
  <c r="D74" i="7" s="1"/>
  <c r="D63" i="6"/>
  <c r="D63" i="13" s="1"/>
  <c r="D75" i="7" s="1"/>
  <c r="D64" i="6"/>
  <c r="D64" i="13" s="1"/>
  <c r="D76" i="7" s="1"/>
  <c r="D65" i="6"/>
  <c r="D65" i="13" s="1"/>
  <c r="D77" i="7" s="1"/>
  <c r="D66" i="6"/>
  <c r="D66" i="13" s="1"/>
  <c r="D78" i="7" s="1"/>
  <c r="D67" i="6"/>
  <c r="D67" i="13" s="1"/>
  <c r="D79" i="7" s="1"/>
  <c r="D68" i="6"/>
  <c r="D68" i="13" s="1"/>
  <c r="D80" i="7" s="1"/>
  <c r="D69" i="6"/>
  <c r="D69" i="13" s="1"/>
  <c r="D81" i="7" s="1"/>
  <c r="D70" i="6"/>
  <c r="D70" i="13" s="1"/>
  <c r="D82" i="7" s="1"/>
  <c r="D59" i="6"/>
  <c r="D59" i="13" s="1"/>
  <c r="D71" i="7" s="1"/>
  <c r="S70" i="6" l="1"/>
  <c r="S69" i="13" s="1"/>
  <c r="S82" i="7" s="1"/>
  <c r="M88" i="9" s="1"/>
  <c r="M97" i="10" s="1"/>
  <c r="O39" i="15" s="1"/>
  <c r="T69" i="3"/>
  <c r="T69" i="6" s="1"/>
  <c r="T68" i="13" s="1"/>
  <c r="T81" i="7" s="1"/>
  <c r="N87" i="14" s="1"/>
  <c r="T67" i="3"/>
  <c r="T67" i="6" s="1"/>
  <c r="T66" i="13" s="1"/>
  <c r="T79" i="7" s="1"/>
  <c r="T68" i="3"/>
  <c r="T68" i="6" s="1"/>
  <c r="T67" i="13" s="1"/>
  <c r="T80" i="7" s="1"/>
  <c r="N86" i="9" s="1"/>
  <c r="N95" i="10" s="1"/>
  <c r="P37" i="15" s="1"/>
  <c r="M85" i="9"/>
  <c r="M94" i="10" s="1"/>
  <c r="O36" i="15" s="1"/>
  <c r="M85" i="14"/>
  <c r="C179" i="9"/>
  <c r="C189" i="10" s="1"/>
  <c r="C179" i="14"/>
  <c r="C184" i="9"/>
  <c r="C194" i="10" s="1"/>
  <c r="C184" i="14"/>
  <c r="C202" i="9"/>
  <c r="C212" i="10" s="1"/>
  <c r="C202" i="14"/>
  <c r="H210" i="9"/>
  <c r="H220" i="10" s="1"/>
  <c r="H210" i="14"/>
  <c r="B124" i="9"/>
  <c r="B133" i="10" s="1"/>
  <c r="B124" i="14"/>
  <c r="M88" i="14"/>
  <c r="C176" i="9"/>
  <c r="C186" i="10" s="1"/>
  <c r="C176" i="14"/>
  <c r="C187" i="9"/>
  <c r="C197" i="10" s="1"/>
  <c r="C187" i="14"/>
  <c r="C192" i="9"/>
  <c r="C202" i="10" s="1"/>
  <c r="C192" i="14"/>
  <c r="N84" i="9"/>
  <c r="N93" i="10" s="1"/>
  <c r="P35" i="15" s="1"/>
  <c r="N84" i="14"/>
  <c r="B120" i="9"/>
  <c r="B129" i="10" s="1"/>
  <c r="B120" i="14"/>
  <c r="M86" i="9"/>
  <c r="M95" i="10" s="1"/>
  <c r="O37" i="15" s="1"/>
  <c r="M86" i="14"/>
  <c r="O86" i="9"/>
  <c r="O95" i="10" s="1"/>
  <c r="Q37" i="15" s="1"/>
  <c r="O86" i="14"/>
  <c r="C180" i="9"/>
  <c r="C190" i="10" s="1"/>
  <c r="C180" i="14"/>
  <c r="C183" i="9"/>
  <c r="C193" i="10" s="1"/>
  <c r="C183" i="14"/>
  <c r="C185" i="9"/>
  <c r="C195" i="10" s="1"/>
  <c r="C185" i="14"/>
  <c r="C194" i="9"/>
  <c r="C204" i="10" s="1"/>
  <c r="C194" i="14"/>
  <c r="C197" i="9"/>
  <c r="C207" i="10" s="1"/>
  <c r="C197" i="14"/>
  <c r="C199" i="9"/>
  <c r="C209" i="10" s="1"/>
  <c r="C199" i="14"/>
  <c r="H211" i="9"/>
  <c r="H221" i="10" s="1"/>
  <c r="H211" i="14"/>
  <c r="AG19" i="14"/>
  <c r="AG35" i="14" s="1"/>
  <c r="W19" i="14"/>
  <c r="W35" i="14" s="1"/>
  <c r="AQ19" i="14"/>
  <c r="AQ35" i="14" s="1"/>
  <c r="B117" i="9"/>
  <c r="B126" i="10" s="1"/>
  <c r="B117" i="14"/>
  <c r="B121" i="9"/>
  <c r="B130" i="10" s="1"/>
  <c r="B121" i="14"/>
  <c r="B126" i="9"/>
  <c r="B135" i="10" s="1"/>
  <c r="B126" i="14"/>
  <c r="M84" i="9"/>
  <c r="M93" i="10" s="1"/>
  <c r="O35" i="15" s="1"/>
  <c r="M84" i="14"/>
  <c r="O85" i="9"/>
  <c r="O94" i="10" s="1"/>
  <c r="Q36" i="15" s="1"/>
  <c r="O85" i="14"/>
  <c r="C188" i="9"/>
  <c r="C198" i="10" s="1"/>
  <c r="C188" i="14"/>
  <c r="C193" i="9"/>
  <c r="C203" i="10" s="1"/>
  <c r="C193" i="14"/>
  <c r="C198" i="9"/>
  <c r="C208" i="10" s="1"/>
  <c r="C198" i="14"/>
  <c r="AG18" i="14"/>
  <c r="AG34" i="14" s="1"/>
  <c r="W18" i="14"/>
  <c r="W34" i="14" s="1"/>
  <c r="AQ18" i="14"/>
  <c r="AQ34" i="14" s="1"/>
  <c r="B118" i="9"/>
  <c r="B127" i="10" s="1"/>
  <c r="B118" i="14"/>
  <c r="B125" i="9"/>
  <c r="B134" i="10" s="1"/>
  <c r="B125" i="14"/>
  <c r="O84" i="9"/>
  <c r="O93" i="10" s="1"/>
  <c r="Q35" i="15" s="1"/>
  <c r="O84" i="14"/>
  <c r="C178" i="9"/>
  <c r="C188" i="10" s="1"/>
  <c r="C178" i="14"/>
  <c r="C190" i="9"/>
  <c r="C200" i="10" s="1"/>
  <c r="C190" i="14"/>
  <c r="C201" i="9"/>
  <c r="C211" i="10" s="1"/>
  <c r="C201" i="14"/>
  <c r="H205" i="9"/>
  <c r="H215" i="10" s="1"/>
  <c r="H205" i="14"/>
  <c r="AG22" i="14"/>
  <c r="AG38" i="14" s="1"/>
  <c r="AQ22" i="14"/>
  <c r="AQ38" i="14" s="1"/>
  <c r="W22" i="14"/>
  <c r="W38" i="14" s="1"/>
  <c r="B128" i="9"/>
  <c r="B137" i="10" s="1"/>
  <c r="B128" i="14"/>
  <c r="M87" i="9"/>
  <c r="M96" i="10" s="1"/>
  <c r="O38" i="15" s="1"/>
  <c r="M87" i="14"/>
  <c r="O87" i="9"/>
  <c r="O96" i="10" s="1"/>
  <c r="Q38" i="15" s="1"/>
  <c r="O87" i="14"/>
  <c r="C181" i="9"/>
  <c r="C191" i="10" s="1"/>
  <c r="C181" i="14"/>
  <c r="C177" i="9"/>
  <c r="C187" i="10" s="1"/>
  <c r="C177" i="14"/>
  <c r="C186" i="9"/>
  <c r="C196" i="10" s="1"/>
  <c r="C186" i="14"/>
  <c r="C195" i="9"/>
  <c r="C205" i="10" s="1"/>
  <c r="C195" i="14"/>
  <c r="C191" i="9"/>
  <c r="C201" i="10" s="1"/>
  <c r="C191" i="14"/>
  <c r="C200" i="9"/>
  <c r="C210" i="10" s="1"/>
  <c r="C200" i="14"/>
  <c r="H212" i="9"/>
  <c r="H222" i="10" s="1"/>
  <c r="H212" i="14"/>
  <c r="H206" i="9"/>
  <c r="H216" i="10" s="1"/>
  <c r="H206" i="14"/>
  <c r="B122" i="9"/>
  <c r="B131" i="10" s="1"/>
  <c r="B122" i="14"/>
  <c r="B127" i="9"/>
  <c r="B136" i="10" s="1"/>
  <c r="B127" i="14"/>
  <c r="B115" i="9"/>
  <c r="B124" i="10" s="1"/>
  <c r="B115" i="14"/>
  <c r="B114" i="9"/>
  <c r="B123" i="10" s="1"/>
  <c r="B114" i="14"/>
  <c r="B113" i="9"/>
  <c r="B122" i="10" s="1"/>
  <c r="B113" i="14"/>
  <c r="B111" i="9"/>
  <c r="B120" i="10" s="1"/>
  <c r="B111" i="14"/>
  <c r="B112" i="9"/>
  <c r="B121" i="10" s="1"/>
  <c r="B112" i="14"/>
  <c r="B109" i="9"/>
  <c r="B118" i="10" s="1"/>
  <c r="B109" i="14"/>
  <c r="B107" i="9"/>
  <c r="B116" i="10" s="1"/>
  <c r="B107" i="14"/>
  <c r="B104" i="9"/>
  <c r="B113" i="10" s="1"/>
  <c r="B104" i="14"/>
  <c r="B106" i="9"/>
  <c r="B115" i="10" s="1"/>
  <c r="B106" i="14"/>
  <c r="B105" i="9"/>
  <c r="B114" i="10" s="1"/>
  <c r="B105" i="14"/>
  <c r="B108" i="9"/>
  <c r="B117" i="10" s="1"/>
  <c r="B108" i="14"/>
  <c r="B101" i="9"/>
  <c r="B110" i="10" s="1"/>
  <c r="B101" i="14"/>
  <c r="B102" i="9"/>
  <c r="B111" i="10" s="1"/>
  <c r="B102" i="14"/>
  <c r="B98" i="9"/>
  <c r="B107" i="10" s="1"/>
  <c r="B98" i="14"/>
  <c r="B100" i="9"/>
  <c r="B109" i="10" s="1"/>
  <c r="B100" i="14"/>
  <c r="B97" i="9"/>
  <c r="B106" i="10" s="1"/>
  <c r="B97" i="14"/>
  <c r="B99" i="9"/>
  <c r="B108" i="10" s="1"/>
  <c r="B99" i="14"/>
  <c r="B92" i="9"/>
  <c r="B101" i="10" s="1"/>
  <c r="B92" i="14"/>
  <c r="B95" i="9"/>
  <c r="B104" i="10" s="1"/>
  <c r="B95" i="14"/>
  <c r="B91" i="9"/>
  <c r="B100" i="10" s="1"/>
  <c r="B91" i="14"/>
  <c r="B94" i="9"/>
  <c r="B103" i="10" s="1"/>
  <c r="B94" i="14"/>
  <c r="B93" i="9"/>
  <c r="B102" i="10" s="1"/>
  <c r="B93" i="14"/>
  <c r="B90" i="9"/>
  <c r="B99" i="10" s="1"/>
  <c r="B90" i="14"/>
  <c r="B88" i="9"/>
  <c r="B97" i="10" s="1"/>
  <c r="B88" i="14"/>
  <c r="B86" i="9"/>
  <c r="B95" i="10" s="1"/>
  <c r="B86" i="14"/>
  <c r="B84" i="9"/>
  <c r="B93" i="10" s="1"/>
  <c r="B84" i="14"/>
  <c r="B87" i="9"/>
  <c r="B96" i="10" s="1"/>
  <c r="B87" i="14"/>
  <c r="B83" i="9"/>
  <c r="B92" i="10" s="1"/>
  <c r="B83" i="14"/>
  <c r="B85" i="9"/>
  <c r="B94" i="10" s="1"/>
  <c r="B85" i="14"/>
  <c r="D72" i="9"/>
  <c r="D81" i="10" s="1"/>
  <c r="D72" i="14"/>
  <c r="D64" i="9"/>
  <c r="D73" i="10" s="1"/>
  <c r="D64" i="14"/>
  <c r="E63" i="9"/>
  <c r="E72" i="10" s="1"/>
  <c r="E63" i="14"/>
  <c r="D73" i="9"/>
  <c r="D82" i="10" s="1"/>
  <c r="D73" i="14"/>
  <c r="D69" i="9"/>
  <c r="D78" i="10" s="1"/>
  <c r="D69" i="14"/>
  <c r="D65" i="9"/>
  <c r="D74" i="10" s="1"/>
  <c r="D65" i="14"/>
  <c r="E72" i="9"/>
  <c r="E81" i="10" s="1"/>
  <c r="E72" i="14"/>
  <c r="E68" i="9"/>
  <c r="E77" i="10" s="1"/>
  <c r="E68" i="14"/>
  <c r="E64" i="9"/>
  <c r="E73" i="10" s="1"/>
  <c r="E64" i="14"/>
  <c r="I74" i="9"/>
  <c r="I83" i="10" s="1"/>
  <c r="I74" i="14"/>
  <c r="D68" i="9"/>
  <c r="D77" i="10" s="1"/>
  <c r="D68" i="14"/>
  <c r="E71" i="9"/>
  <c r="E80" i="10" s="1"/>
  <c r="E71" i="14"/>
  <c r="E67" i="9"/>
  <c r="E76" i="10" s="1"/>
  <c r="E67" i="14"/>
  <c r="L74" i="9"/>
  <c r="L83" i="10" s="1"/>
  <c r="L74" i="14"/>
  <c r="D71" i="9"/>
  <c r="D80" i="10" s="1"/>
  <c r="D71" i="14"/>
  <c r="D67" i="9"/>
  <c r="D76" i="10" s="1"/>
  <c r="D67" i="14"/>
  <c r="D63" i="9"/>
  <c r="D72" i="10" s="1"/>
  <c r="D63" i="14"/>
  <c r="G63" i="14" s="1"/>
  <c r="E70" i="9"/>
  <c r="E79" i="10" s="1"/>
  <c r="E70" i="14"/>
  <c r="E66" i="9"/>
  <c r="E75" i="10" s="1"/>
  <c r="E66" i="14"/>
  <c r="E62" i="9"/>
  <c r="E71" i="10" s="1"/>
  <c r="E62" i="14"/>
  <c r="D62" i="9"/>
  <c r="D71" i="10" s="1"/>
  <c r="D62" i="14"/>
  <c r="D70" i="9"/>
  <c r="D79" i="10" s="1"/>
  <c r="D70" i="14"/>
  <c r="G70" i="14" s="1"/>
  <c r="D66" i="9"/>
  <c r="D75" i="10" s="1"/>
  <c r="D66" i="14"/>
  <c r="G66" i="14" s="1"/>
  <c r="E73" i="9"/>
  <c r="E82" i="10" s="1"/>
  <c r="E73" i="14"/>
  <c r="G73" i="14" s="1"/>
  <c r="E69" i="9"/>
  <c r="E78" i="10" s="1"/>
  <c r="E69" i="14"/>
  <c r="E65" i="9"/>
  <c r="E74" i="10" s="1"/>
  <c r="E65" i="14"/>
  <c r="L72" i="6"/>
  <c r="L72" i="13" s="1"/>
  <c r="L84" i="7" s="1"/>
  <c r="I72" i="13"/>
  <c r="I84" i="7" s="1"/>
  <c r="D46" i="13"/>
  <c r="D46" i="7" s="1"/>
  <c r="D46" i="9"/>
  <c r="D46" i="10" s="1"/>
  <c r="D45" i="13"/>
  <c r="D45" i="7" s="1"/>
  <c r="D53" i="7" s="1"/>
  <c r="D45" i="9"/>
  <c r="D45" i="10" s="1"/>
  <c r="D47" i="13"/>
  <c r="D49" i="7" s="1"/>
  <c r="D57" i="7" s="1"/>
  <c r="D49" i="9"/>
  <c r="D49" i="10" s="1"/>
  <c r="H207" i="9"/>
  <c r="H217" i="10" s="1"/>
  <c r="H216" i="7"/>
  <c r="D44" i="13"/>
  <c r="D44" i="7" s="1"/>
  <c r="D52" i="7" s="1"/>
  <c r="D44" i="9"/>
  <c r="D44" i="10" s="1"/>
  <c r="E34" i="15" s="1"/>
  <c r="D44" i="15" s="1"/>
  <c r="C180" i="6"/>
  <c r="G59" i="6"/>
  <c r="N87" i="9" l="1"/>
  <c r="N96" i="10" s="1"/>
  <c r="P38" i="15" s="1"/>
  <c r="T70" i="3"/>
  <c r="T70" i="6" s="1"/>
  <c r="T69" i="13" s="1"/>
  <c r="T82" i="7" s="1"/>
  <c r="N88" i="14" s="1"/>
  <c r="N88" i="9"/>
  <c r="N97" i="10" s="1"/>
  <c r="P39" i="15" s="1"/>
  <c r="N86" i="14"/>
  <c r="B119" i="14"/>
  <c r="H117" i="14" s="1"/>
  <c r="J49" i="15"/>
  <c r="K49" i="15" s="1"/>
  <c r="AQ18" i="15" s="1"/>
  <c r="AQ22" i="15" s="1"/>
  <c r="D49" i="15"/>
  <c r="E49" i="15" s="1"/>
  <c r="W18" i="15" s="1"/>
  <c r="W22" i="15" s="1"/>
  <c r="G49" i="15"/>
  <c r="H49" i="15" s="1"/>
  <c r="AG18" i="15" s="1"/>
  <c r="AG22" i="15" s="1"/>
  <c r="C189" i="14"/>
  <c r="H186" i="14" s="1"/>
  <c r="B123" i="14"/>
  <c r="H121" i="14" s="1"/>
  <c r="H60" i="15"/>
  <c r="J60" i="15" s="1"/>
  <c r="N17" i="15"/>
  <c r="P17" i="15" s="1"/>
  <c r="O17" i="15"/>
  <c r="Q17" i="15" s="1"/>
  <c r="I61" i="15"/>
  <c r="K61" i="15" s="1"/>
  <c r="I60" i="15"/>
  <c r="K60" i="15" s="1"/>
  <c r="H61" i="15"/>
  <c r="J61" i="15" s="1"/>
  <c r="C196" i="14"/>
  <c r="H191" i="14" s="1"/>
  <c r="H63" i="15"/>
  <c r="J63" i="15" s="1"/>
  <c r="O20" i="15"/>
  <c r="Q20" i="15" s="1"/>
  <c r="H64" i="15"/>
  <c r="J64" i="15" s="1"/>
  <c r="I64" i="15"/>
  <c r="K64" i="15" s="1"/>
  <c r="I63" i="15"/>
  <c r="K63" i="15" s="1"/>
  <c r="N20" i="15"/>
  <c r="P20" i="15" s="1"/>
  <c r="N85" i="9"/>
  <c r="N94" i="10" s="1"/>
  <c r="P36" i="15" s="1"/>
  <c r="N85" i="14"/>
  <c r="I54" i="15"/>
  <c r="K54" i="15" s="1"/>
  <c r="H54" i="15"/>
  <c r="J54" i="15" s="1"/>
  <c r="H55" i="15"/>
  <c r="J55" i="15" s="1"/>
  <c r="O23" i="15"/>
  <c r="Q23" i="15" s="1"/>
  <c r="I55" i="15"/>
  <c r="K55" i="15" s="1"/>
  <c r="N23" i="15"/>
  <c r="P23" i="15" s="1"/>
  <c r="C182" i="14"/>
  <c r="H178" i="14" s="1"/>
  <c r="B129" i="14"/>
  <c r="H127" i="14" s="1"/>
  <c r="H208" i="9"/>
  <c r="H218" i="10" s="1"/>
  <c r="H208" i="14"/>
  <c r="K221" i="9"/>
  <c r="G67" i="14"/>
  <c r="G71" i="14"/>
  <c r="G64" i="14"/>
  <c r="H58" i="15"/>
  <c r="J58" i="15" s="1"/>
  <c r="N14" i="15"/>
  <c r="P14" i="15" s="1"/>
  <c r="I58" i="15"/>
  <c r="K58" i="15" s="1"/>
  <c r="H57" i="15"/>
  <c r="J57" i="15" s="1"/>
  <c r="I57" i="15"/>
  <c r="K57" i="15" s="1"/>
  <c r="O14" i="15"/>
  <c r="Q14" i="15" s="1"/>
  <c r="C203" i="14"/>
  <c r="H202" i="14" s="1"/>
  <c r="B116" i="14"/>
  <c r="H114" i="14" s="1"/>
  <c r="B110" i="14"/>
  <c r="H109" i="14" s="1"/>
  <c r="B103" i="14"/>
  <c r="H98" i="14" s="1"/>
  <c r="B96" i="14"/>
  <c r="H90" i="14" s="1"/>
  <c r="B89" i="14"/>
  <c r="H84" i="14" s="1"/>
  <c r="G65" i="14"/>
  <c r="I75" i="9"/>
  <c r="I84" i="10" s="1"/>
  <c r="I75" i="14"/>
  <c r="G62" i="14"/>
  <c r="I62" i="14" s="1"/>
  <c r="L62" i="14" s="1"/>
  <c r="G68" i="14"/>
  <c r="G69" i="14"/>
  <c r="G72" i="14"/>
  <c r="L75" i="9"/>
  <c r="L84" i="10" s="1"/>
  <c r="L75" i="14"/>
  <c r="H60" i="7"/>
  <c r="I60" i="7" s="1"/>
  <c r="AF18" i="7" s="1"/>
  <c r="AF34" i="7" s="1"/>
  <c r="K60" i="7"/>
  <c r="L60" i="7" s="1"/>
  <c r="K65" i="7"/>
  <c r="L65" i="7" s="1"/>
  <c r="H65" i="7"/>
  <c r="I65" i="7" s="1"/>
  <c r="AF22" i="7" s="1"/>
  <c r="AF38" i="7" s="1"/>
  <c r="I52" i="7"/>
  <c r="D54" i="7"/>
  <c r="H61" i="7"/>
  <c r="I61" i="7" s="1"/>
  <c r="AF19" i="7" s="1"/>
  <c r="AF35" i="7" s="1"/>
  <c r="K61" i="7"/>
  <c r="L61" i="7" s="1"/>
  <c r="B15" i="6"/>
  <c r="B15" i="13" s="1"/>
  <c r="B15" i="7" s="1"/>
  <c r="B24" i="6"/>
  <c r="B24" i="13" s="1"/>
  <c r="B24" i="7" s="1"/>
  <c r="B25" i="6"/>
  <c r="B25" i="13" s="1"/>
  <c r="B25" i="7" s="1"/>
  <c r="B26" i="6"/>
  <c r="B26" i="13" s="1"/>
  <c r="B26" i="7" s="1"/>
  <c r="AN36" i="6"/>
  <c r="AD36" i="6"/>
  <c r="B7" i="6"/>
  <c r="B7" i="13" s="1"/>
  <c r="B7" i="7" s="1"/>
  <c r="B7" i="9" s="1"/>
  <c r="I65" i="14" l="1"/>
  <c r="L65" i="14" s="1"/>
  <c r="H195" i="14"/>
  <c r="H124" i="14"/>
  <c r="H184" i="14"/>
  <c r="H188" i="14"/>
  <c r="H180" i="14"/>
  <c r="H99" i="14"/>
  <c r="H192" i="14"/>
  <c r="H190" i="14"/>
  <c r="J69" i="15"/>
  <c r="H97" i="14"/>
  <c r="H115" i="14"/>
  <c r="H86" i="14"/>
  <c r="H122" i="14"/>
  <c r="I72" i="14"/>
  <c r="L72" i="14" s="1"/>
  <c r="H88" i="14"/>
  <c r="H118" i="14"/>
  <c r="H119" i="14" s="1"/>
  <c r="O27" i="15"/>
  <c r="N27" i="15"/>
  <c r="H193" i="14"/>
  <c r="H183" i="14"/>
  <c r="H187" i="14"/>
  <c r="H185" i="14"/>
  <c r="H177" i="14"/>
  <c r="H176" i="14"/>
  <c r="H87" i="14"/>
  <c r="H94" i="14"/>
  <c r="H106" i="14"/>
  <c r="H179" i="14"/>
  <c r="I63" i="14"/>
  <c r="L63" i="14" s="1"/>
  <c r="H83" i="14"/>
  <c r="H93" i="14"/>
  <c r="H104" i="14"/>
  <c r="H111" i="14"/>
  <c r="H198" i="14"/>
  <c r="J67" i="15"/>
  <c r="H181" i="14"/>
  <c r="H201" i="14"/>
  <c r="B7" i="10"/>
  <c r="B7" i="15"/>
  <c r="B24" i="9"/>
  <c r="B24" i="10" s="1"/>
  <c r="B30" i="14"/>
  <c r="I68" i="14"/>
  <c r="L68" i="14" s="1"/>
  <c r="H85" i="14"/>
  <c r="H95" i="14"/>
  <c r="H91" i="14"/>
  <c r="H102" i="14"/>
  <c r="H107" i="14"/>
  <c r="H112" i="14"/>
  <c r="H199" i="14"/>
  <c r="H200" i="14"/>
  <c r="H125" i="14"/>
  <c r="H120" i="14"/>
  <c r="H126" i="14"/>
  <c r="B15" i="9"/>
  <c r="B22" i="14"/>
  <c r="B26" i="9"/>
  <c r="B32" i="14"/>
  <c r="H197" i="14"/>
  <c r="H128" i="14"/>
  <c r="B25" i="9"/>
  <c r="B31" i="14"/>
  <c r="H92" i="14"/>
  <c r="H113" i="14"/>
  <c r="J70" i="15"/>
  <c r="J68" i="15"/>
  <c r="H194" i="14"/>
  <c r="H105" i="14"/>
  <c r="H108" i="14"/>
  <c r="H101" i="14"/>
  <c r="H100" i="14"/>
  <c r="I69" i="14"/>
  <c r="L69" i="14" s="1"/>
  <c r="I66" i="14"/>
  <c r="L66" i="14" s="1"/>
  <c r="I71" i="14"/>
  <c r="L71" i="14" s="1"/>
  <c r="AP22" i="7"/>
  <c r="AP38" i="7" s="1"/>
  <c r="AP46" i="7"/>
  <c r="K62" i="7"/>
  <c r="L62" i="7" s="1"/>
  <c r="H62" i="7"/>
  <c r="I62" i="7" s="1"/>
  <c r="AP42" i="7"/>
  <c r="AP18" i="7"/>
  <c r="AP34" i="7" s="1"/>
  <c r="I54" i="7"/>
  <c r="I56" i="7" s="1"/>
  <c r="D48" i="7" s="1"/>
  <c r="D48" i="14" s="1"/>
  <c r="D56" i="14" s="1"/>
  <c r="F56" i="14" s="1"/>
  <c r="G56" i="14" s="1"/>
  <c r="I53" i="7"/>
  <c r="I55" i="7" s="1"/>
  <c r="AP19" i="7"/>
  <c r="AP35" i="7" s="1"/>
  <c r="AP43" i="7"/>
  <c r="AN23" i="3"/>
  <c r="AN22" i="3"/>
  <c r="AN36" i="3" s="1"/>
  <c r="AD23" i="3"/>
  <c r="AD22" i="3"/>
  <c r="T23" i="3"/>
  <c r="T22" i="3"/>
  <c r="E50" i="3"/>
  <c r="D50" i="3"/>
  <c r="G59" i="3"/>
  <c r="C17" i="3"/>
  <c r="C17" i="6" s="1"/>
  <c r="C17" i="13" s="1"/>
  <c r="C17" i="7" s="1"/>
  <c r="C17" i="9" s="1"/>
  <c r="C18" i="3"/>
  <c r="C18" i="6" s="1"/>
  <c r="C18" i="13" s="1"/>
  <c r="C18" i="7" s="1"/>
  <c r="C18" i="9" s="1"/>
  <c r="B17" i="3"/>
  <c r="B17" i="6" s="1"/>
  <c r="B17" i="13" s="1"/>
  <c r="B17" i="7" s="1"/>
  <c r="B18" i="3"/>
  <c r="B18" i="6" s="1"/>
  <c r="B18" i="13" s="1"/>
  <c r="B18" i="7" s="1"/>
  <c r="B16" i="3"/>
  <c r="B16" i="6" s="1"/>
  <c r="B16" i="13" s="1"/>
  <c r="B16" i="7" s="1"/>
  <c r="C16" i="3"/>
  <c r="C16" i="6" s="1"/>
  <c r="C16" i="13" s="1"/>
  <c r="C16" i="7" s="1"/>
  <c r="C16" i="9" s="1"/>
  <c r="AD36" i="3"/>
  <c r="C9" i="3"/>
  <c r="C9" i="6" s="1"/>
  <c r="C9" i="13" s="1"/>
  <c r="C9" i="7" s="1"/>
  <c r="C9" i="9" s="1"/>
  <c r="C10" i="3"/>
  <c r="C10" i="6" s="1"/>
  <c r="C10" i="13" s="1"/>
  <c r="C10" i="7" s="1"/>
  <c r="C10" i="9" s="1"/>
  <c r="C8" i="3"/>
  <c r="C8" i="6" s="1"/>
  <c r="C8" i="13" s="1"/>
  <c r="C8" i="7" s="1"/>
  <c r="C8" i="9" s="1"/>
  <c r="B9" i="3"/>
  <c r="B9" i="6" s="1"/>
  <c r="B9" i="13" s="1"/>
  <c r="B9" i="7" s="1"/>
  <c r="B10" i="3"/>
  <c r="B10" i="6" s="1"/>
  <c r="B10" i="13" s="1"/>
  <c r="B10" i="7" s="1"/>
  <c r="B8" i="3"/>
  <c r="B8" i="6" s="1"/>
  <c r="B8" i="13" s="1"/>
  <c r="B8" i="7" s="1"/>
  <c r="B23" i="3"/>
  <c r="B23" i="6" s="1"/>
  <c r="B23" i="13" s="1"/>
  <c r="C25" i="1"/>
  <c r="C26" i="1"/>
  <c r="C24" i="1"/>
  <c r="D22" i="1"/>
  <c r="F6" i="1"/>
  <c r="F5" i="1"/>
  <c r="F4" i="1"/>
  <c r="H96" i="14" l="1"/>
  <c r="H182" i="14"/>
  <c r="J75" i="15"/>
  <c r="H110" i="14"/>
  <c r="P27" i="15"/>
  <c r="C25" i="15" s="1"/>
  <c r="AE8" i="15" s="1"/>
  <c r="H196" i="14"/>
  <c r="J73" i="15"/>
  <c r="H189" i="14"/>
  <c r="H89" i="14"/>
  <c r="H123" i="14"/>
  <c r="Q27" i="15"/>
  <c r="C26" i="15" s="1"/>
  <c r="H116" i="14"/>
  <c r="J74" i="15"/>
  <c r="H129" i="14"/>
  <c r="B10" i="9"/>
  <c r="B10" i="14"/>
  <c r="C18" i="10"/>
  <c r="C18" i="15"/>
  <c r="B15" i="10"/>
  <c r="B15" i="15"/>
  <c r="B9" i="9"/>
  <c r="B9" i="14"/>
  <c r="C17" i="10"/>
  <c r="C17" i="15"/>
  <c r="W21" i="14"/>
  <c r="W37" i="14" s="1"/>
  <c r="AQ21" i="14"/>
  <c r="AQ37" i="14" s="1"/>
  <c r="AG21" i="14"/>
  <c r="AG37" i="14" s="1"/>
  <c r="H103" i="14"/>
  <c r="H203" i="14"/>
  <c r="C8" i="10"/>
  <c r="C8" i="15"/>
  <c r="B18" i="9"/>
  <c r="B25" i="14"/>
  <c r="J72" i="15"/>
  <c r="U8" i="15"/>
  <c r="B8" i="9"/>
  <c r="B8" i="14"/>
  <c r="C10" i="10"/>
  <c r="C10" i="15"/>
  <c r="B17" i="9"/>
  <c r="B24" i="14"/>
  <c r="B25" i="10"/>
  <c r="B25" i="15"/>
  <c r="C9" i="10"/>
  <c r="C9" i="15"/>
  <c r="C16" i="10"/>
  <c r="C16" i="15"/>
  <c r="B26" i="10"/>
  <c r="B26" i="15"/>
  <c r="B16" i="9"/>
  <c r="B23" i="14"/>
  <c r="D47" i="7"/>
  <c r="D56" i="7"/>
  <c r="D48" i="9"/>
  <c r="D48" i="10" s="1"/>
  <c r="AO8" i="15" l="1"/>
  <c r="AO9" i="15"/>
  <c r="AO12" i="15" s="1"/>
  <c r="AO16" i="15" s="1"/>
  <c r="AO24" i="15" s="1"/>
  <c r="AT24" i="15" s="1"/>
  <c r="AE9" i="15"/>
  <c r="AE12" i="15" s="1"/>
  <c r="AE16" i="15" s="1"/>
  <c r="AE24" i="15" s="1"/>
  <c r="AJ24" i="15" s="1"/>
  <c r="U9" i="15"/>
  <c r="U12" i="15" s="1"/>
  <c r="AO11" i="15"/>
  <c r="AO15" i="15" s="1"/>
  <c r="AO20" i="15" s="1"/>
  <c r="D47" i="9"/>
  <c r="D55" i="9" s="1"/>
  <c r="D47" i="14"/>
  <c r="D55" i="14" s="1"/>
  <c r="F55" i="14" s="1"/>
  <c r="G55" i="14" s="1"/>
  <c r="B17" i="10"/>
  <c r="B17" i="15"/>
  <c r="B8" i="10"/>
  <c r="B8" i="15"/>
  <c r="B16" i="10"/>
  <c r="B16" i="15"/>
  <c r="U11" i="15"/>
  <c r="B10" i="10"/>
  <c r="B10" i="15"/>
  <c r="AE11" i="15"/>
  <c r="B18" i="10"/>
  <c r="B18" i="15"/>
  <c r="B9" i="10"/>
  <c r="B9" i="15"/>
  <c r="K64" i="7"/>
  <c r="L64" i="7" s="1"/>
  <c r="H64" i="7"/>
  <c r="I64" i="7" s="1"/>
  <c r="AF21" i="7" s="1"/>
  <c r="AF37" i="7" s="1"/>
  <c r="D55" i="7"/>
  <c r="C10" i="12"/>
  <c r="U16" i="15" l="1"/>
  <c r="U24" i="15" s="1"/>
  <c r="Z24" i="15" s="1"/>
  <c r="AO13" i="15"/>
  <c r="AO18" i="15"/>
  <c r="AS18" i="15" s="1"/>
  <c r="AO26" i="15"/>
  <c r="AT26" i="15" s="1"/>
  <c r="AE26" i="15"/>
  <c r="AJ26" i="15" s="1"/>
  <c r="D47" i="10"/>
  <c r="AO30" i="15"/>
  <c r="AS20" i="15"/>
  <c r="AG20" i="14"/>
  <c r="AG36" i="14" s="1"/>
  <c r="AQ20" i="14"/>
  <c r="AQ36" i="14" s="1"/>
  <c r="W20" i="14"/>
  <c r="W36" i="14" s="1"/>
  <c r="AE18" i="15"/>
  <c r="AE15" i="15"/>
  <c r="AE20" i="15" s="1"/>
  <c r="AE13" i="15"/>
  <c r="U18" i="15"/>
  <c r="U13" i="15"/>
  <c r="U15" i="15"/>
  <c r="U20" i="15" s="1"/>
  <c r="K63" i="7"/>
  <c r="L63" i="7" s="1"/>
  <c r="H63" i="7"/>
  <c r="I63" i="7" s="1"/>
  <c r="AF20" i="7" s="1"/>
  <c r="AF36" i="7" s="1"/>
  <c r="AP45" i="7"/>
  <c r="AP21" i="7"/>
  <c r="AP37" i="7" s="1"/>
  <c r="E49" i="10"/>
  <c r="E57" i="10" s="1"/>
  <c r="E45" i="10"/>
  <c r="E53" i="10" s="1"/>
  <c r="AO22" i="15" l="1"/>
  <c r="AO29" i="15" s="1"/>
  <c r="U26" i="15"/>
  <c r="Z26" i="15" s="1"/>
  <c r="U30" i="15"/>
  <c r="Y20" i="15"/>
  <c r="AE30" i="15"/>
  <c r="AI20" i="15"/>
  <c r="AI18" i="15"/>
  <c r="AE22" i="15"/>
  <c r="AS22" i="15"/>
  <c r="AT18" i="15" s="1"/>
  <c r="Y18" i="15"/>
  <c r="U22" i="15"/>
  <c r="AP20" i="7"/>
  <c r="AP36" i="7" s="1"/>
  <c r="AP44" i="7"/>
  <c r="H202" i="13"/>
  <c r="C193" i="13"/>
  <c r="H191" i="13" s="1"/>
  <c r="C186" i="13"/>
  <c r="H183" i="13" s="1"/>
  <c r="C179" i="13"/>
  <c r="H177" i="13" s="1"/>
  <c r="C172" i="13"/>
  <c r="H171" i="13" s="1"/>
  <c r="H142" i="13"/>
  <c r="B126" i="13"/>
  <c r="H125" i="13" s="1"/>
  <c r="B120" i="13"/>
  <c r="H119" i="13" s="1"/>
  <c r="B116" i="13"/>
  <c r="H115" i="13" s="1"/>
  <c r="B113" i="13"/>
  <c r="H112" i="13" s="1"/>
  <c r="B107" i="13"/>
  <c r="H106" i="13" s="1"/>
  <c r="B100" i="13"/>
  <c r="H99" i="13" s="1"/>
  <c r="B93" i="13"/>
  <c r="H91" i="13" s="1"/>
  <c r="B86" i="13"/>
  <c r="H83" i="13" s="1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E54" i="13"/>
  <c r="D54" i="13"/>
  <c r="C54" i="13"/>
  <c r="E53" i="13"/>
  <c r="D53" i="13"/>
  <c r="C53" i="13"/>
  <c r="E52" i="13"/>
  <c r="D52" i="13"/>
  <c r="C52" i="13"/>
  <c r="D51" i="13"/>
  <c r="C51" i="13"/>
  <c r="W36" i="13"/>
  <c r="H178" i="13" l="1"/>
  <c r="Y22" i="15"/>
  <c r="U29" i="15"/>
  <c r="AE29" i="15"/>
  <c r="AI22" i="15"/>
  <c r="AJ18" i="15" s="1"/>
  <c r="Z18" i="15"/>
  <c r="H174" i="13"/>
  <c r="H173" i="13"/>
  <c r="J52" i="13"/>
  <c r="K52" i="13" s="1"/>
  <c r="AG19" i="13" s="1"/>
  <c r="AG33" i="13" s="1"/>
  <c r="N52" i="13"/>
  <c r="O52" i="13" s="1"/>
  <c r="AQ19" i="13" s="1"/>
  <c r="AQ33" i="13" s="1"/>
  <c r="H175" i="13"/>
  <c r="J51" i="13"/>
  <c r="K51" i="13" s="1"/>
  <c r="AG18" i="13" s="1"/>
  <c r="AG32" i="13" s="1"/>
  <c r="N51" i="13"/>
  <c r="O51" i="13" s="1"/>
  <c r="AQ18" i="13" s="1"/>
  <c r="AQ32" i="13" s="1"/>
  <c r="J54" i="13"/>
  <c r="K54" i="13" s="1"/>
  <c r="AG21" i="13" s="1"/>
  <c r="AG35" i="13" s="1"/>
  <c r="N54" i="13"/>
  <c r="O54" i="13" s="1"/>
  <c r="AQ21" i="13" s="1"/>
  <c r="AQ35" i="13" s="1"/>
  <c r="J53" i="13"/>
  <c r="K53" i="13" s="1"/>
  <c r="AG20" i="13" s="1"/>
  <c r="AG34" i="13" s="1"/>
  <c r="N53" i="13"/>
  <c r="O53" i="13" s="1"/>
  <c r="AQ20" i="13" s="1"/>
  <c r="AQ34" i="13" s="1"/>
  <c r="H188" i="13"/>
  <c r="H192" i="13"/>
  <c r="H189" i="13"/>
  <c r="H190" i="13"/>
  <c r="H187" i="13"/>
  <c r="H182" i="13"/>
  <c r="H180" i="13"/>
  <c r="H184" i="13"/>
  <c r="H181" i="13"/>
  <c r="H185" i="13"/>
  <c r="H176" i="13"/>
  <c r="H169" i="13"/>
  <c r="H168" i="13"/>
  <c r="H166" i="13"/>
  <c r="H170" i="13"/>
  <c r="H167" i="13"/>
  <c r="H88" i="13"/>
  <c r="I65" i="13"/>
  <c r="L65" i="13" s="1"/>
  <c r="I62" i="13"/>
  <c r="L62" i="13" s="1"/>
  <c r="H124" i="13"/>
  <c r="H122" i="13"/>
  <c r="H117" i="13"/>
  <c r="H118" i="13"/>
  <c r="H114" i="13"/>
  <c r="H116" i="13" s="1"/>
  <c r="H109" i="13"/>
  <c r="H111" i="13"/>
  <c r="H101" i="13"/>
  <c r="H103" i="13"/>
  <c r="H104" i="13"/>
  <c r="H105" i="13"/>
  <c r="H102" i="13"/>
  <c r="H97" i="13"/>
  <c r="H96" i="13"/>
  <c r="H94" i="13"/>
  <c r="H98" i="13"/>
  <c r="H95" i="13"/>
  <c r="H92" i="13"/>
  <c r="H89" i="13"/>
  <c r="H90" i="13"/>
  <c r="H87" i="13"/>
  <c r="H82" i="13"/>
  <c r="H80" i="13"/>
  <c r="H84" i="13"/>
  <c r="H81" i="13"/>
  <c r="H85" i="13"/>
  <c r="I59" i="13"/>
  <c r="L59" i="13" s="1"/>
  <c r="I68" i="13"/>
  <c r="L68" i="13" s="1"/>
  <c r="I66" i="13"/>
  <c r="L66" i="13" s="1"/>
  <c r="I69" i="13"/>
  <c r="L69" i="13" s="1"/>
  <c r="I60" i="13"/>
  <c r="L60" i="13" s="1"/>
  <c r="F54" i="13"/>
  <c r="G54" i="13" s="1"/>
  <c r="F52" i="13"/>
  <c r="G52" i="13" s="1"/>
  <c r="F51" i="13"/>
  <c r="G51" i="13" s="1"/>
  <c r="F53" i="13"/>
  <c r="G53" i="13" s="1"/>
  <c r="H110" i="13"/>
  <c r="H123" i="13"/>
  <c r="I63" i="13"/>
  <c r="L63" i="13" s="1"/>
  <c r="H108" i="13"/>
  <c r="H121" i="13"/>
  <c r="C213" i="10"/>
  <c r="H211" i="10" s="1"/>
  <c r="C206" i="10"/>
  <c r="H204" i="10" s="1"/>
  <c r="C199" i="10"/>
  <c r="H197" i="10" s="1"/>
  <c r="C192" i="10"/>
  <c r="H190" i="10" s="1"/>
  <c r="D174" i="10"/>
  <c r="B138" i="10"/>
  <c r="H135" i="10" s="1"/>
  <c r="B132" i="10"/>
  <c r="B128" i="10"/>
  <c r="H126" i="10" s="1"/>
  <c r="B125" i="10"/>
  <c r="H124" i="10" s="1"/>
  <c r="B119" i="10"/>
  <c r="H115" i="10" s="1"/>
  <c r="B112" i="10"/>
  <c r="H108" i="10" s="1"/>
  <c r="B105" i="10"/>
  <c r="H101" i="10" s="1"/>
  <c r="B98" i="10"/>
  <c r="H94" i="10" s="1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D57" i="10"/>
  <c r="C57" i="10"/>
  <c r="C66" i="10" s="1"/>
  <c r="D56" i="10"/>
  <c r="D55" i="10"/>
  <c r="D54" i="10"/>
  <c r="C54" i="10"/>
  <c r="C63" i="10" s="1"/>
  <c r="D53" i="10"/>
  <c r="C53" i="10"/>
  <c r="C62" i="10" s="1"/>
  <c r="D52" i="10"/>
  <c r="C52" i="10"/>
  <c r="C61" i="10" s="1"/>
  <c r="W39" i="10"/>
  <c r="H198" i="10" l="1"/>
  <c r="H133" i="10"/>
  <c r="H134" i="10"/>
  <c r="H136" i="10"/>
  <c r="H127" i="10"/>
  <c r="H128" i="10" s="1"/>
  <c r="H121" i="10"/>
  <c r="J62" i="10"/>
  <c r="K62" i="10" s="1"/>
  <c r="AQ19" i="10" s="1"/>
  <c r="AQ35" i="10" s="1"/>
  <c r="G62" i="10"/>
  <c r="H62" i="10" s="1"/>
  <c r="AG19" i="10" s="1"/>
  <c r="AG35" i="10" s="1"/>
  <c r="D62" i="10"/>
  <c r="E62" i="10" s="1"/>
  <c r="W19" i="10" s="1"/>
  <c r="D65" i="10"/>
  <c r="E65" i="10" s="1"/>
  <c r="W21" i="10" s="1"/>
  <c r="W37" i="10" s="1"/>
  <c r="J65" i="10"/>
  <c r="K65" i="10" s="1"/>
  <c r="AQ21" i="10" s="1"/>
  <c r="AQ37" i="10" s="1"/>
  <c r="G65" i="10"/>
  <c r="H65" i="10" s="1"/>
  <c r="AG21" i="10" s="1"/>
  <c r="AG37" i="10" s="1"/>
  <c r="H137" i="10"/>
  <c r="J64" i="10"/>
  <c r="K64" i="10" s="1"/>
  <c r="AQ20" i="10" s="1"/>
  <c r="AQ36" i="10" s="1"/>
  <c r="G64" i="10"/>
  <c r="H64" i="10" s="1"/>
  <c r="AG20" i="10" s="1"/>
  <c r="AG36" i="10" s="1"/>
  <c r="D64" i="10"/>
  <c r="E64" i="10" s="1"/>
  <c r="W20" i="10" s="1"/>
  <c r="W36" i="10" s="1"/>
  <c r="D61" i="10"/>
  <c r="E61" i="10" s="1"/>
  <c r="W18" i="10" s="1"/>
  <c r="W34" i="10" s="1"/>
  <c r="J61" i="10"/>
  <c r="K61" i="10" s="1"/>
  <c r="AQ18" i="10" s="1"/>
  <c r="AQ34" i="10" s="1"/>
  <c r="G61" i="10"/>
  <c r="H61" i="10" s="1"/>
  <c r="AG18" i="10" s="1"/>
  <c r="AG34" i="10" s="1"/>
  <c r="D63" i="10"/>
  <c r="E63" i="10" s="1"/>
  <c r="J63" i="10"/>
  <c r="K63" i="10" s="1"/>
  <c r="G63" i="10"/>
  <c r="H63" i="10" s="1"/>
  <c r="J66" i="10"/>
  <c r="K66" i="10" s="1"/>
  <c r="AQ22" i="10" s="1"/>
  <c r="AQ38" i="10" s="1"/>
  <c r="G66" i="10"/>
  <c r="H66" i="10" s="1"/>
  <c r="AG22" i="10" s="1"/>
  <c r="AG38" i="10" s="1"/>
  <c r="D66" i="10"/>
  <c r="E66" i="10" s="1"/>
  <c r="W22" i="10" s="1"/>
  <c r="W38" i="10" s="1"/>
  <c r="H122" i="10"/>
  <c r="I75" i="10"/>
  <c r="L75" i="10" s="1"/>
  <c r="H123" i="10"/>
  <c r="H191" i="10"/>
  <c r="H205" i="10"/>
  <c r="I72" i="10"/>
  <c r="L72" i="10" s="1"/>
  <c r="I80" i="10"/>
  <c r="L80" i="10" s="1"/>
  <c r="I77" i="10"/>
  <c r="L77" i="10" s="1"/>
  <c r="H120" i="10"/>
  <c r="H194" i="10"/>
  <c r="H201" i="10"/>
  <c r="H208" i="10"/>
  <c r="I74" i="10"/>
  <c r="L74" i="10" s="1"/>
  <c r="I81" i="10"/>
  <c r="L81" i="10" s="1"/>
  <c r="H187" i="10"/>
  <c r="H195" i="10"/>
  <c r="H202" i="10"/>
  <c r="H212" i="10"/>
  <c r="W20" i="13"/>
  <c r="W34" i="13" s="1"/>
  <c r="W21" i="13"/>
  <c r="W35" i="13" s="1"/>
  <c r="H179" i="13"/>
  <c r="W18" i="13"/>
  <c r="W19" i="13"/>
  <c r="W33" i="13" s="1"/>
  <c r="W35" i="10"/>
  <c r="H193" i="13"/>
  <c r="H186" i="13"/>
  <c r="H172" i="13"/>
  <c r="H107" i="13"/>
  <c r="H126" i="13"/>
  <c r="H120" i="13"/>
  <c r="H113" i="13"/>
  <c r="H100" i="13"/>
  <c r="H93" i="13"/>
  <c r="H86" i="13"/>
  <c r="I71" i="10"/>
  <c r="L71" i="10" s="1"/>
  <c r="I78" i="10"/>
  <c r="L78" i="10" s="1"/>
  <c r="H97" i="10"/>
  <c r="H93" i="10"/>
  <c r="H96" i="10"/>
  <c r="H92" i="10"/>
  <c r="H95" i="10"/>
  <c r="H111" i="10"/>
  <c r="H107" i="10"/>
  <c r="H110" i="10"/>
  <c r="H106" i="10"/>
  <c r="H109" i="10"/>
  <c r="H104" i="10"/>
  <c r="H100" i="10"/>
  <c r="H103" i="10"/>
  <c r="H99" i="10"/>
  <c r="H102" i="10"/>
  <c r="H118" i="10"/>
  <c r="H114" i="10"/>
  <c r="H117" i="10"/>
  <c r="H113" i="10"/>
  <c r="H116" i="10"/>
  <c r="H131" i="10"/>
  <c r="H130" i="10"/>
  <c r="H129" i="10"/>
  <c r="H209" i="10"/>
  <c r="H189" i="10"/>
  <c r="H196" i="10"/>
  <c r="H203" i="10"/>
  <c r="H210" i="10"/>
  <c r="H188" i="10"/>
  <c r="H186" i="10"/>
  <c r="H193" i="10"/>
  <c r="H200" i="10"/>
  <c r="H207" i="10"/>
  <c r="H138" i="10" l="1"/>
  <c r="H125" i="10"/>
  <c r="H98" i="10"/>
  <c r="H206" i="10"/>
  <c r="H192" i="10"/>
  <c r="H105" i="10"/>
  <c r="W32" i="13"/>
  <c r="H213" i="10"/>
  <c r="H199" i="10"/>
  <c r="H132" i="10"/>
  <c r="H119" i="10"/>
  <c r="H112" i="10"/>
  <c r="H274" i="9" l="1"/>
  <c r="H222" i="9" s="1"/>
  <c r="H259" i="9"/>
  <c r="G222" i="9" s="1"/>
  <c r="H244" i="9"/>
  <c r="F222" i="9" s="1"/>
  <c r="H229" i="9"/>
  <c r="E222" i="9" s="1"/>
  <c r="E223" i="9" s="1"/>
  <c r="C203" i="9"/>
  <c r="H202" i="9" s="1"/>
  <c r="C196" i="9"/>
  <c r="H195" i="9" s="1"/>
  <c r="C189" i="9"/>
  <c r="H187" i="9" s="1"/>
  <c r="C182" i="9"/>
  <c r="H179" i="9" s="1"/>
  <c r="B129" i="9"/>
  <c r="H127" i="9" s="1"/>
  <c r="B123" i="9"/>
  <c r="H120" i="9" s="1"/>
  <c r="B119" i="9"/>
  <c r="H117" i="9" s="1"/>
  <c r="B116" i="9"/>
  <c r="H114" i="9" s="1"/>
  <c r="B110" i="9"/>
  <c r="H107" i="9" s="1"/>
  <c r="B103" i="9"/>
  <c r="H100" i="9" s="1"/>
  <c r="B96" i="9"/>
  <c r="H93" i="9" s="1"/>
  <c r="B89" i="9"/>
  <c r="H86" i="9" s="1"/>
  <c r="G73" i="9"/>
  <c r="G72" i="9"/>
  <c r="G71" i="9"/>
  <c r="G70" i="9"/>
  <c r="G69" i="9"/>
  <c r="G68" i="9"/>
  <c r="G67" i="9"/>
  <c r="G66" i="9"/>
  <c r="G65" i="9"/>
  <c r="G64" i="9"/>
  <c r="G63" i="9"/>
  <c r="G62" i="9"/>
  <c r="G60" i="9"/>
  <c r="E57" i="9"/>
  <c r="D57" i="9"/>
  <c r="C57" i="9"/>
  <c r="E56" i="9"/>
  <c r="D56" i="9"/>
  <c r="E54" i="9"/>
  <c r="D54" i="9"/>
  <c r="C54" i="9"/>
  <c r="E53" i="9"/>
  <c r="D53" i="9"/>
  <c r="C53" i="9"/>
  <c r="E52" i="9"/>
  <c r="D52" i="9"/>
  <c r="C52" i="9"/>
  <c r="W39" i="9"/>
  <c r="E55" i="7"/>
  <c r="E56" i="7"/>
  <c r="H217" i="7"/>
  <c r="H209" i="14" s="1"/>
  <c r="H214" i="14" s="1"/>
  <c r="H154" i="7"/>
  <c r="H145" i="14" s="1"/>
  <c r="H153" i="7"/>
  <c r="H144" i="14" s="1"/>
  <c r="H144" i="7"/>
  <c r="H135" i="14" s="1"/>
  <c r="H139" i="14" s="1"/>
  <c r="C211" i="7"/>
  <c r="C204" i="7"/>
  <c r="C197" i="7"/>
  <c r="C190" i="7"/>
  <c r="B138" i="7"/>
  <c r="H134" i="7" s="1"/>
  <c r="B132" i="7"/>
  <c r="H131" i="7" s="1"/>
  <c r="B128" i="7"/>
  <c r="B125" i="7"/>
  <c r="H122" i="7" s="1"/>
  <c r="B119" i="7"/>
  <c r="H115" i="7" s="1"/>
  <c r="B112" i="7"/>
  <c r="H111" i="7" s="1"/>
  <c r="B105" i="7"/>
  <c r="H101" i="7" s="1"/>
  <c r="B98" i="7"/>
  <c r="H97" i="7" s="1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E57" i="7"/>
  <c r="C57" i="7"/>
  <c r="D65" i="7" s="1"/>
  <c r="E54" i="7"/>
  <c r="C54" i="7"/>
  <c r="D62" i="7" s="1"/>
  <c r="E53" i="7"/>
  <c r="C53" i="7"/>
  <c r="D61" i="7" s="1"/>
  <c r="E52" i="7"/>
  <c r="E60" i="7" s="1"/>
  <c r="F60" i="7" s="1"/>
  <c r="C52" i="7"/>
  <c r="D60" i="7" s="1"/>
  <c r="V39" i="7"/>
  <c r="E53" i="6"/>
  <c r="E52" i="6"/>
  <c r="E51" i="6"/>
  <c r="E50" i="6"/>
  <c r="H203" i="6"/>
  <c r="C194" i="6"/>
  <c r="H192" i="6" s="1"/>
  <c r="C187" i="6"/>
  <c r="H185" i="6" s="1"/>
  <c r="H178" i="6"/>
  <c r="C173" i="6"/>
  <c r="D161" i="6"/>
  <c r="D160" i="6"/>
  <c r="D158" i="6"/>
  <c r="D157" i="6"/>
  <c r="H142" i="6"/>
  <c r="H134" i="6"/>
  <c r="B126" i="6"/>
  <c r="H125" i="6" s="1"/>
  <c r="B120" i="6"/>
  <c r="H118" i="6" s="1"/>
  <c r="B116" i="6"/>
  <c r="H115" i="6" s="1"/>
  <c r="B113" i="6"/>
  <c r="H112" i="6" s="1"/>
  <c r="B107" i="6"/>
  <c r="H105" i="6" s="1"/>
  <c r="B100" i="6"/>
  <c r="H98" i="6" s="1"/>
  <c r="B93" i="6"/>
  <c r="H89" i="6" s="1"/>
  <c r="B86" i="6"/>
  <c r="H84" i="6" s="1"/>
  <c r="G70" i="6"/>
  <c r="G69" i="6"/>
  <c r="G68" i="6"/>
  <c r="G67" i="6"/>
  <c r="G66" i="6"/>
  <c r="G65" i="6"/>
  <c r="G64" i="6"/>
  <c r="G63" i="6"/>
  <c r="G62" i="6"/>
  <c r="G61" i="6"/>
  <c r="G60" i="6"/>
  <c r="G58" i="6"/>
  <c r="D53" i="6"/>
  <c r="C53" i="6"/>
  <c r="D52" i="6"/>
  <c r="C52" i="6"/>
  <c r="D51" i="6"/>
  <c r="C51" i="6"/>
  <c r="D50" i="6"/>
  <c r="C50" i="6"/>
  <c r="T41" i="6"/>
  <c r="T36" i="6"/>
  <c r="T27" i="6"/>
  <c r="H209" i="9" l="1"/>
  <c r="H135" i="9"/>
  <c r="H145" i="9"/>
  <c r="H144" i="9"/>
  <c r="K222" i="9"/>
  <c r="K224" i="9" s="1"/>
  <c r="C220" i="14" s="1"/>
  <c r="H118" i="9"/>
  <c r="H119" i="9" s="1"/>
  <c r="F165" i="9"/>
  <c r="G165" i="9" s="1"/>
  <c r="H165" i="9" s="1"/>
  <c r="F167" i="9"/>
  <c r="G167" i="9" s="1"/>
  <c r="H167" i="9" s="1"/>
  <c r="F169" i="9"/>
  <c r="G169" i="9" s="1"/>
  <c r="H169" i="9" s="1"/>
  <c r="H176" i="9"/>
  <c r="F157" i="6"/>
  <c r="G157" i="6" s="1"/>
  <c r="H157" i="6" s="1"/>
  <c r="H111" i="6"/>
  <c r="F158" i="6"/>
  <c r="G158" i="6" s="1"/>
  <c r="H158" i="6" s="1"/>
  <c r="F161" i="6"/>
  <c r="G161" i="6" s="1"/>
  <c r="H161" i="6" s="1"/>
  <c r="F160" i="6"/>
  <c r="G160" i="6" s="1"/>
  <c r="H160" i="6" s="1"/>
  <c r="H171" i="6"/>
  <c r="H168" i="6"/>
  <c r="H170" i="6"/>
  <c r="F50" i="6"/>
  <c r="G50" i="6" s="1"/>
  <c r="AN18" i="6" s="1"/>
  <c r="AN32" i="6" s="1"/>
  <c r="H91" i="6"/>
  <c r="H88" i="6"/>
  <c r="I62" i="6"/>
  <c r="L62" i="6" s="1"/>
  <c r="I68" i="6"/>
  <c r="L68" i="6" s="1"/>
  <c r="F52" i="6"/>
  <c r="G52" i="6" s="1"/>
  <c r="H103" i="6"/>
  <c r="H122" i="6"/>
  <c r="H123" i="6"/>
  <c r="H124" i="6"/>
  <c r="H114" i="6"/>
  <c r="H116" i="6" s="1"/>
  <c r="H109" i="6"/>
  <c r="H110" i="6"/>
  <c r="H96" i="6"/>
  <c r="F51" i="6"/>
  <c r="G51" i="6" s="1"/>
  <c r="F53" i="6"/>
  <c r="G53" i="6" s="1"/>
  <c r="I59" i="6"/>
  <c r="L59" i="6" s="1"/>
  <c r="I69" i="6"/>
  <c r="L69" i="6" s="1"/>
  <c r="I63" i="6"/>
  <c r="L63" i="6" s="1"/>
  <c r="E64" i="7"/>
  <c r="F64" i="7" s="1"/>
  <c r="V21" i="7" s="1"/>
  <c r="V37" i="7" s="1"/>
  <c r="E63" i="7"/>
  <c r="F63" i="7" s="1"/>
  <c r="V20" i="7" s="1"/>
  <c r="V36" i="7" s="1"/>
  <c r="H181" i="9"/>
  <c r="H201" i="9"/>
  <c r="G223" i="9"/>
  <c r="H177" i="9"/>
  <c r="H180" i="9"/>
  <c r="H178" i="9"/>
  <c r="I65" i="9"/>
  <c r="L65" i="9" s="1"/>
  <c r="F170" i="9"/>
  <c r="G170" i="9" s="1"/>
  <c r="H170" i="9" s="1"/>
  <c r="H184" i="9"/>
  <c r="H199" i="9"/>
  <c r="H197" i="9"/>
  <c r="H200" i="9"/>
  <c r="F52" i="9"/>
  <c r="G52" i="9" s="1"/>
  <c r="I62" i="9"/>
  <c r="L62" i="9" s="1"/>
  <c r="H188" i="9"/>
  <c r="H198" i="9"/>
  <c r="F223" i="9"/>
  <c r="H223" i="9"/>
  <c r="I63" i="9"/>
  <c r="L63" i="9" s="1"/>
  <c r="I66" i="9"/>
  <c r="L66" i="9" s="1"/>
  <c r="H111" i="9"/>
  <c r="H126" i="9"/>
  <c r="H124" i="9"/>
  <c r="F53" i="9"/>
  <c r="G53" i="9" s="1"/>
  <c r="H115" i="9"/>
  <c r="H121" i="9"/>
  <c r="H128" i="9"/>
  <c r="F168" i="9"/>
  <c r="G168" i="9" s="1"/>
  <c r="H168" i="9" s="1"/>
  <c r="H192" i="9"/>
  <c r="F54" i="9"/>
  <c r="G54" i="9" s="1"/>
  <c r="H83" i="9"/>
  <c r="H185" i="9"/>
  <c r="H193" i="9"/>
  <c r="H85" i="9"/>
  <c r="H92" i="9"/>
  <c r="H99" i="9"/>
  <c r="H106" i="9"/>
  <c r="H112" i="9"/>
  <c r="H186" i="9"/>
  <c r="H190" i="9"/>
  <c r="H194" i="9"/>
  <c r="F56" i="9"/>
  <c r="G56" i="9" s="1"/>
  <c r="I69" i="9"/>
  <c r="L69" i="9" s="1"/>
  <c r="H90" i="9"/>
  <c r="H97" i="9"/>
  <c r="H104" i="9"/>
  <c r="F55" i="9"/>
  <c r="G55" i="9" s="1"/>
  <c r="F57" i="9"/>
  <c r="G57" i="9" s="1"/>
  <c r="H87" i="9"/>
  <c r="H94" i="9"/>
  <c r="H101" i="9"/>
  <c r="H108" i="9"/>
  <c r="H113" i="9"/>
  <c r="H125" i="9"/>
  <c r="F166" i="9"/>
  <c r="G166" i="9" s="1"/>
  <c r="H166" i="9" s="1"/>
  <c r="H183" i="9"/>
  <c r="H191" i="9"/>
  <c r="I68" i="9"/>
  <c r="L68" i="9" s="1"/>
  <c r="I71" i="9"/>
  <c r="L71" i="9" s="1"/>
  <c r="I72" i="9"/>
  <c r="L72" i="9" s="1"/>
  <c r="H84" i="9"/>
  <c r="H88" i="9"/>
  <c r="H91" i="9"/>
  <c r="H95" i="9"/>
  <c r="H98" i="9"/>
  <c r="H102" i="9"/>
  <c r="H105" i="9"/>
  <c r="H109" i="9"/>
  <c r="H122" i="9"/>
  <c r="V18" i="7"/>
  <c r="H104" i="7"/>
  <c r="H222" i="7"/>
  <c r="E62" i="7"/>
  <c r="F62" i="7" s="1"/>
  <c r="H108" i="7"/>
  <c r="H148" i="7"/>
  <c r="H158" i="7"/>
  <c r="I81" i="7"/>
  <c r="L81" i="7" s="1"/>
  <c r="E61" i="7"/>
  <c r="F61" i="7" s="1"/>
  <c r="H118" i="7"/>
  <c r="H94" i="7"/>
  <c r="E65" i="7"/>
  <c r="F65" i="7" s="1"/>
  <c r="V22" i="7" s="1"/>
  <c r="V38" i="7" s="1"/>
  <c r="H135" i="7"/>
  <c r="I78" i="7"/>
  <c r="L78" i="7" s="1"/>
  <c r="I77" i="7"/>
  <c r="L77" i="7" s="1"/>
  <c r="I80" i="7"/>
  <c r="L80" i="7" s="1"/>
  <c r="H195" i="7"/>
  <c r="H191" i="7"/>
  <c r="H194" i="7"/>
  <c r="H196" i="7"/>
  <c r="H193" i="7"/>
  <c r="H192" i="7"/>
  <c r="I71" i="7"/>
  <c r="L71" i="7" s="1"/>
  <c r="H202" i="7"/>
  <c r="H198" i="7"/>
  <c r="H201" i="7"/>
  <c r="H203" i="7"/>
  <c r="H200" i="7"/>
  <c r="H199" i="7"/>
  <c r="H209" i="7"/>
  <c r="H205" i="7"/>
  <c r="H208" i="7"/>
  <c r="H210" i="7"/>
  <c r="H207" i="7"/>
  <c r="H206" i="7"/>
  <c r="H188" i="7"/>
  <c r="H184" i="7"/>
  <c r="H187" i="7"/>
  <c r="H189" i="7"/>
  <c r="H186" i="7"/>
  <c r="H185" i="7"/>
  <c r="I74" i="7"/>
  <c r="L74" i="7" s="1"/>
  <c r="H124" i="7"/>
  <c r="H120" i="7"/>
  <c r="H123" i="7"/>
  <c r="I72" i="7"/>
  <c r="L72" i="7" s="1"/>
  <c r="H96" i="7"/>
  <c r="H92" i="7"/>
  <c r="H95" i="7"/>
  <c r="H103" i="7"/>
  <c r="H99" i="7"/>
  <c r="H102" i="7"/>
  <c r="H110" i="7"/>
  <c r="H106" i="7"/>
  <c r="H109" i="7"/>
  <c r="H117" i="7"/>
  <c r="H113" i="7"/>
  <c r="H116" i="7"/>
  <c r="H130" i="7"/>
  <c r="H129" i="7"/>
  <c r="I75" i="7"/>
  <c r="L75" i="7" s="1"/>
  <c r="H93" i="7"/>
  <c r="H100" i="7"/>
  <c r="H107" i="7"/>
  <c r="H114" i="7"/>
  <c r="H121" i="7"/>
  <c r="H127" i="7"/>
  <c r="H126" i="7"/>
  <c r="H137" i="7"/>
  <c r="H133" i="7"/>
  <c r="H136" i="7"/>
  <c r="I60" i="6"/>
  <c r="L60" i="6" s="1"/>
  <c r="I66" i="6"/>
  <c r="L66" i="6" s="1"/>
  <c r="I65" i="6"/>
  <c r="L65" i="6" s="1"/>
  <c r="H169" i="6"/>
  <c r="H183" i="6"/>
  <c r="H83" i="6"/>
  <c r="H90" i="6"/>
  <c r="H97" i="6"/>
  <c r="H117" i="6"/>
  <c r="H177" i="6"/>
  <c r="H184" i="6"/>
  <c r="H81" i="6"/>
  <c r="H85" i="6"/>
  <c r="H92" i="6"/>
  <c r="H95" i="6"/>
  <c r="H99" i="6"/>
  <c r="H102" i="6"/>
  <c r="H106" i="6"/>
  <c r="H119" i="6"/>
  <c r="H172" i="6"/>
  <c r="H175" i="6"/>
  <c r="H179" i="6"/>
  <c r="H182" i="6"/>
  <c r="H186" i="6"/>
  <c r="H189" i="6"/>
  <c r="H193" i="6"/>
  <c r="H82" i="6"/>
  <c r="H176" i="6"/>
  <c r="H190" i="6"/>
  <c r="H104" i="6"/>
  <c r="H191" i="6"/>
  <c r="H80" i="6"/>
  <c r="H87" i="6"/>
  <c r="H94" i="6"/>
  <c r="H101" i="6"/>
  <c r="H108" i="6"/>
  <c r="H121" i="6"/>
  <c r="H167" i="6"/>
  <c r="H174" i="6"/>
  <c r="H181" i="6"/>
  <c r="H188" i="6"/>
  <c r="F231" i="14" l="1"/>
  <c r="H231" i="14" s="1"/>
  <c r="F235" i="14"/>
  <c r="H235" i="14" s="1"/>
  <c r="F228" i="14"/>
  <c r="H228" i="14" s="1"/>
  <c r="F232" i="14"/>
  <c r="H232" i="14" s="1"/>
  <c r="F236" i="14"/>
  <c r="H236" i="14" s="1"/>
  <c r="F229" i="14"/>
  <c r="H229" i="14" s="1"/>
  <c r="F233" i="14"/>
  <c r="H233" i="14" s="1"/>
  <c r="F237" i="14"/>
  <c r="H237" i="14" s="1"/>
  <c r="F227" i="14"/>
  <c r="H227" i="14" s="1"/>
  <c r="F230" i="14"/>
  <c r="H230" i="14" s="1"/>
  <c r="F234" i="14"/>
  <c r="H234" i="14" s="1"/>
  <c r="H214" i="9"/>
  <c r="H219" i="10"/>
  <c r="H224" i="10" s="1"/>
  <c r="H149" i="9"/>
  <c r="H149" i="14"/>
  <c r="AG28" i="9"/>
  <c r="AG44" i="9" s="1"/>
  <c r="AQ28" i="9"/>
  <c r="AQ44" i="9" s="1"/>
  <c r="W28" i="9"/>
  <c r="W44" i="9" s="1"/>
  <c r="AQ29" i="9"/>
  <c r="AQ45" i="9" s="1"/>
  <c r="AG29" i="9"/>
  <c r="AG45" i="9" s="1"/>
  <c r="AQ27" i="9"/>
  <c r="AQ43" i="9" s="1"/>
  <c r="AG27" i="9"/>
  <c r="AG43" i="9" s="1"/>
  <c r="W20" i="9"/>
  <c r="W36" i="9" s="1"/>
  <c r="AG20" i="9"/>
  <c r="AG36" i="9" s="1"/>
  <c r="AQ20" i="9"/>
  <c r="AQ36" i="9" s="1"/>
  <c r="H144" i="10"/>
  <c r="H148" i="10" s="1"/>
  <c r="AQ31" i="9"/>
  <c r="AQ47" i="9" s="1"/>
  <c r="AG31" i="9"/>
  <c r="AG47" i="9" s="1"/>
  <c r="AG26" i="9"/>
  <c r="AG42" i="9" s="1"/>
  <c r="AQ26" i="9"/>
  <c r="AQ42" i="9" s="1"/>
  <c r="H154" i="10"/>
  <c r="W26" i="9"/>
  <c r="W42" i="9" s="1"/>
  <c r="H153" i="10"/>
  <c r="V34" i="7"/>
  <c r="W21" i="9"/>
  <c r="W37" i="9" s="1"/>
  <c r="AG21" i="9"/>
  <c r="AG37" i="9" s="1"/>
  <c r="AQ21" i="9"/>
  <c r="AQ37" i="9" s="1"/>
  <c r="H139" i="9"/>
  <c r="W22" i="9"/>
  <c r="W38" i="9" s="1"/>
  <c r="AG22" i="9"/>
  <c r="AG38" i="9" s="1"/>
  <c r="AQ22" i="9"/>
  <c r="AQ38" i="9" s="1"/>
  <c r="W19" i="9"/>
  <c r="W35" i="9" s="1"/>
  <c r="AG19" i="9"/>
  <c r="AG35" i="9" s="1"/>
  <c r="AQ19" i="9"/>
  <c r="AQ35" i="9" s="1"/>
  <c r="W18" i="9"/>
  <c r="W34" i="9" s="1"/>
  <c r="AQ18" i="9"/>
  <c r="AQ34" i="9" s="1"/>
  <c r="AG18" i="9"/>
  <c r="AG34" i="9" s="1"/>
  <c r="W30" i="9"/>
  <c r="W46" i="9" s="1"/>
  <c r="AQ30" i="9"/>
  <c r="AQ46" i="9" s="1"/>
  <c r="AG30" i="9"/>
  <c r="AG46" i="9" s="1"/>
  <c r="H300" i="9"/>
  <c r="P300" i="9" s="1"/>
  <c r="H302" i="9"/>
  <c r="P302" i="9" s="1"/>
  <c r="H304" i="9"/>
  <c r="P304" i="9" s="1"/>
  <c r="G300" i="9"/>
  <c r="O300" i="9" s="1"/>
  <c r="O314" i="9" s="1"/>
  <c r="G304" i="9"/>
  <c r="O304" i="9" s="1"/>
  <c r="O318" i="9" s="1"/>
  <c r="H299" i="9"/>
  <c r="P299" i="9" s="1"/>
  <c r="I301" i="9"/>
  <c r="Q301" i="9" s="1"/>
  <c r="I304" i="9"/>
  <c r="Q304" i="9" s="1"/>
  <c r="G302" i="9"/>
  <c r="O302" i="9" s="1"/>
  <c r="O316" i="9" s="1"/>
  <c r="H301" i="9"/>
  <c r="P301" i="9" s="1"/>
  <c r="I303" i="9"/>
  <c r="Q303" i="9" s="1"/>
  <c r="G301" i="9"/>
  <c r="O301" i="9" s="1"/>
  <c r="O315" i="9" s="1"/>
  <c r="I302" i="9"/>
  <c r="Q302" i="9" s="1"/>
  <c r="G303" i="9"/>
  <c r="O303" i="9" s="1"/>
  <c r="O317" i="9" s="1"/>
  <c r="H303" i="9"/>
  <c r="P303" i="9" s="1"/>
  <c r="G305" i="9"/>
  <c r="O305" i="9" s="1"/>
  <c r="O319" i="9" s="1"/>
  <c r="I299" i="9"/>
  <c r="Q299" i="9" s="1"/>
  <c r="H305" i="9"/>
  <c r="P305" i="9" s="1"/>
  <c r="I300" i="9"/>
  <c r="Q300" i="9" s="1"/>
  <c r="I305" i="9"/>
  <c r="Q305" i="9" s="1"/>
  <c r="G297" i="9"/>
  <c r="O297" i="9" s="1"/>
  <c r="O311" i="9" s="1"/>
  <c r="D234" i="10" s="1"/>
  <c r="H298" i="9"/>
  <c r="G296" i="9"/>
  <c r="H297" i="9"/>
  <c r="P297" i="9" s="1"/>
  <c r="I298" i="9"/>
  <c r="Q298" i="9" s="1"/>
  <c r="H295" i="9"/>
  <c r="P295" i="9" s="1"/>
  <c r="H296" i="9"/>
  <c r="I297" i="9"/>
  <c r="Q297" i="9" s="1"/>
  <c r="G299" i="9"/>
  <c r="O299" i="9" s="1"/>
  <c r="O313" i="9" s="1"/>
  <c r="I295" i="9"/>
  <c r="I296" i="9"/>
  <c r="G298" i="9"/>
  <c r="O298" i="9" s="1"/>
  <c r="O312" i="9" s="1"/>
  <c r="G295" i="9"/>
  <c r="W29" i="9"/>
  <c r="W45" i="9" s="1"/>
  <c r="AN43" i="6"/>
  <c r="AD43" i="6"/>
  <c r="AN29" i="6"/>
  <c r="AD29" i="6"/>
  <c r="T43" i="6"/>
  <c r="T29" i="6"/>
  <c r="AN42" i="6"/>
  <c r="AD42" i="6"/>
  <c r="AD28" i="6"/>
  <c r="AN28" i="6"/>
  <c r="T42" i="6"/>
  <c r="T28" i="6"/>
  <c r="AD40" i="6"/>
  <c r="AN40" i="6"/>
  <c r="AD26" i="6"/>
  <c r="AN26" i="6"/>
  <c r="T26" i="6"/>
  <c r="T40" i="6"/>
  <c r="AD25" i="6"/>
  <c r="AN39" i="6"/>
  <c r="AD39" i="6"/>
  <c r="AN25" i="6"/>
  <c r="T25" i="6"/>
  <c r="T39" i="6"/>
  <c r="AD18" i="6"/>
  <c r="AD32" i="6" s="1"/>
  <c r="T18" i="6"/>
  <c r="T32" i="6" s="1"/>
  <c r="H126" i="6"/>
  <c r="H120" i="6"/>
  <c r="H113" i="6"/>
  <c r="H100" i="6"/>
  <c r="T19" i="6"/>
  <c r="T33" i="6" s="1"/>
  <c r="AN19" i="6"/>
  <c r="AN33" i="6" s="1"/>
  <c r="AD19" i="6"/>
  <c r="AD33" i="6" s="1"/>
  <c r="T21" i="6"/>
  <c r="T35" i="6" s="1"/>
  <c r="AD21" i="6"/>
  <c r="AD35" i="6" s="1"/>
  <c r="AN21" i="6"/>
  <c r="AN35" i="6" s="1"/>
  <c r="T20" i="6"/>
  <c r="T34" i="6" s="1"/>
  <c r="AN20" i="6"/>
  <c r="AN34" i="6" s="1"/>
  <c r="AD20" i="6"/>
  <c r="AD34" i="6" s="1"/>
  <c r="H173" i="6"/>
  <c r="W27" i="9"/>
  <c r="W43" i="9" s="1"/>
  <c r="H182" i="9"/>
  <c r="H129" i="9"/>
  <c r="W31" i="9"/>
  <c r="W47" i="9" s="1"/>
  <c r="H203" i="9"/>
  <c r="H123" i="9"/>
  <c r="H116" i="9"/>
  <c r="H110" i="9"/>
  <c r="H96" i="9"/>
  <c r="H196" i="9"/>
  <c r="H103" i="9"/>
  <c r="H89" i="9"/>
  <c r="H189" i="9"/>
  <c r="V19" i="7"/>
  <c r="V35" i="7" s="1"/>
  <c r="H128" i="7"/>
  <c r="H132" i="7"/>
  <c r="H98" i="7"/>
  <c r="H125" i="7"/>
  <c r="H190" i="7"/>
  <c r="H204" i="7"/>
  <c r="H197" i="7"/>
  <c r="H138" i="7"/>
  <c r="H105" i="7"/>
  <c r="H112" i="7"/>
  <c r="H211" i="7"/>
  <c r="H119" i="7"/>
  <c r="H187" i="6"/>
  <c r="H86" i="6"/>
  <c r="H180" i="6"/>
  <c r="H107" i="6"/>
  <c r="H194" i="6"/>
  <c r="H93" i="6"/>
  <c r="L305" i="9" l="1"/>
  <c r="M304" i="9"/>
  <c r="V57" i="14"/>
  <c r="AP57" i="14"/>
  <c r="AF57" i="14"/>
  <c r="AF61" i="14"/>
  <c r="V61" i="14"/>
  <c r="AP61" i="14"/>
  <c r="AP62" i="14"/>
  <c r="AF62" i="14"/>
  <c r="V62" i="14"/>
  <c r="V64" i="14"/>
  <c r="AP64" i="14"/>
  <c r="AF64" i="14"/>
  <c r="AP60" i="14"/>
  <c r="AF60" i="14"/>
  <c r="V60" i="14"/>
  <c r="AP56" i="14"/>
  <c r="V55" i="14"/>
  <c r="AF56" i="14"/>
  <c r="AP55" i="14"/>
  <c r="V56" i="14"/>
  <c r="AF55" i="14"/>
  <c r="V57" i="9"/>
  <c r="D235" i="10"/>
  <c r="V57" i="10" s="1"/>
  <c r="V63" i="9"/>
  <c r="D240" i="10"/>
  <c r="V63" i="10" s="1"/>
  <c r="AP63" i="14"/>
  <c r="AF63" i="14"/>
  <c r="V63" i="14"/>
  <c r="V64" i="9"/>
  <c r="D241" i="10"/>
  <c r="V64" i="10" s="1"/>
  <c r="AF58" i="14"/>
  <c r="V58" i="14"/>
  <c r="AP58" i="14"/>
  <c r="V58" i="9"/>
  <c r="D236" i="10"/>
  <c r="V58" i="10" s="1"/>
  <c r="V55" i="10"/>
  <c r="V56" i="10"/>
  <c r="H158" i="10"/>
  <c r="AF65" i="14"/>
  <c r="V65" i="14"/>
  <c r="AP65" i="14"/>
  <c r="V54" i="14"/>
  <c r="AP54" i="14"/>
  <c r="AF54" i="14"/>
  <c r="AF53" i="14"/>
  <c r="V53" i="14"/>
  <c r="AP53" i="14"/>
  <c r="V62" i="9"/>
  <c r="D239" i="10"/>
  <c r="V62" i="10" s="1"/>
  <c r="V65" i="9"/>
  <c r="D242" i="10"/>
  <c r="V65" i="10" s="1"/>
  <c r="V61" i="9"/>
  <c r="D238" i="10"/>
  <c r="V61" i="10" s="1"/>
  <c r="V60" i="9"/>
  <c r="D97" i="15"/>
  <c r="V30" i="15" s="1"/>
  <c r="Z30" i="15" s="1"/>
  <c r="D237" i="10"/>
  <c r="V60" i="10" s="1"/>
  <c r="K299" i="9"/>
  <c r="L295" i="9"/>
  <c r="M297" i="9"/>
  <c r="M299" i="9"/>
  <c r="L304" i="9"/>
  <c r="B312" i="9" s="1"/>
  <c r="Q319" i="9"/>
  <c r="M301" i="9"/>
  <c r="M305" i="9"/>
  <c r="K297" i="9"/>
  <c r="M298" i="9"/>
  <c r="K298" i="9"/>
  <c r="M296" i="9"/>
  <c r="Q296" i="9"/>
  <c r="M295" i="9"/>
  <c r="B307" i="9" s="1"/>
  <c r="Q295" i="9"/>
  <c r="P311" i="9"/>
  <c r="E234" i="10" s="1"/>
  <c r="P316" i="9"/>
  <c r="K305" i="9"/>
  <c r="P318" i="9"/>
  <c r="P313" i="9"/>
  <c r="K296" i="9"/>
  <c r="O296" i="9"/>
  <c r="O310" i="9" s="1"/>
  <c r="P319" i="9"/>
  <c r="L302" i="9"/>
  <c r="K295" i="9"/>
  <c r="O295" i="9"/>
  <c r="O309" i="9" s="1"/>
  <c r="L297" i="9"/>
  <c r="Q316" i="9"/>
  <c r="Q311" i="9"/>
  <c r="F234" i="10" s="1"/>
  <c r="P314" i="9"/>
  <c r="P309" i="9"/>
  <c r="L298" i="9"/>
  <c r="P298" i="9"/>
  <c r="Q313" i="9"/>
  <c r="Q318" i="9"/>
  <c r="K303" i="9"/>
  <c r="K302" i="9"/>
  <c r="L303" i="9"/>
  <c r="M303" i="9"/>
  <c r="K304" i="9"/>
  <c r="L300" i="9"/>
  <c r="K301" i="9"/>
  <c r="L296" i="9"/>
  <c r="P296" i="9"/>
  <c r="Q312" i="9"/>
  <c r="Q317" i="9"/>
  <c r="V56" i="9"/>
  <c r="V55" i="9"/>
  <c r="L299" i="9"/>
  <c r="M302" i="9"/>
  <c r="M300" i="9"/>
  <c r="L301" i="9"/>
  <c r="K300" i="9"/>
  <c r="T36" i="3"/>
  <c r="B313" i="9" l="1"/>
  <c r="H184" i="3"/>
  <c r="H182" i="3"/>
  <c r="H186" i="3"/>
  <c r="H185" i="3"/>
  <c r="H183" i="3"/>
  <c r="H181" i="3"/>
  <c r="H207" i="3"/>
  <c r="H206" i="3"/>
  <c r="H205" i="3"/>
  <c r="H204" i="3"/>
  <c r="H203" i="3"/>
  <c r="H202" i="3"/>
  <c r="H192" i="3"/>
  <c r="H190" i="3"/>
  <c r="H188" i="3"/>
  <c r="H193" i="3"/>
  <c r="H191" i="3"/>
  <c r="H189" i="3"/>
  <c r="H200" i="3"/>
  <c r="H199" i="3"/>
  <c r="H198" i="3"/>
  <c r="H197" i="3"/>
  <c r="H196" i="3"/>
  <c r="H195" i="3"/>
  <c r="AP64" i="9"/>
  <c r="F241" i="10"/>
  <c r="AP64" i="10" s="1"/>
  <c r="E242" i="10"/>
  <c r="AF64" i="9"/>
  <c r="E241" i="10"/>
  <c r="AF64" i="10" s="1"/>
  <c r="AP63" i="9"/>
  <c r="F240" i="10"/>
  <c r="AP63" i="10" s="1"/>
  <c r="AP58" i="9"/>
  <c r="F236" i="10"/>
  <c r="AP58" i="10" s="1"/>
  <c r="AF60" i="9"/>
  <c r="E97" i="15"/>
  <c r="AF30" i="15" s="1"/>
  <c r="AJ30" i="15" s="1"/>
  <c r="E237" i="10"/>
  <c r="AF60" i="10" s="1"/>
  <c r="V53" i="9"/>
  <c r="D96" i="15"/>
  <c r="V29" i="15" s="1"/>
  <c r="Z29" i="15" s="1"/>
  <c r="Z32" i="15" s="1"/>
  <c r="D232" i="10"/>
  <c r="V53" i="10" s="1"/>
  <c r="V54" i="9"/>
  <c r="D233" i="10"/>
  <c r="V54" i="10" s="1"/>
  <c r="AP65" i="9"/>
  <c r="F242" i="10"/>
  <c r="AP65" i="10" s="1"/>
  <c r="AP62" i="9"/>
  <c r="F239" i="10"/>
  <c r="AP62" i="10" s="1"/>
  <c r="E236" i="10"/>
  <c r="AF55" i="10"/>
  <c r="AF56" i="10"/>
  <c r="AF53" i="9"/>
  <c r="E96" i="15"/>
  <c r="AF29" i="15" s="1"/>
  <c r="AJ29" i="15" s="1"/>
  <c r="AJ32" i="15" s="1"/>
  <c r="E232" i="10"/>
  <c r="AF53" i="10" s="1"/>
  <c r="AP57" i="9"/>
  <c r="F235" i="10"/>
  <c r="AP57" i="10" s="1"/>
  <c r="AP55" i="10"/>
  <c r="AP56" i="10"/>
  <c r="AF62" i="9"/>
  <c r="E239" i="10"/>
  <c r="AF62" i="10" s="1"/>
  <c r="B309" i="9"/>
  <c r="Q309" i="9"/>
  <c r="Q314" i="9"/>
  <c r="B308" i="9"/>
  <c r="P312" i="9"/>
  <c r="P317" i="9"/>
  <c r="AP56" i="9"/>
  <c r="AP55" i="9"/>
  <c r="Q315" i="9"/>
  <c r="Q310" i="9"/>
  <c r="P315" i="9"/>
  <c r="P310" i="9"/>
  <c r="B311" i="9"/>
  <c r="B310" i="9"/>
  <c r="AF55" i="9"/>
  <c r="AF56" i="9"/>
  <c r="E175" i="3"/>
  <c r="D175" i="3"/>
  <c r="AP61" i="9" l="1"/>
  <c r="F238" i="10"/>
  <c r="AP61" i="10" s="1"/>
  <c r="AF57" i="9"/>
  <c r="E235" i="10"/>
  <c r="AF57" i="10" s="1"/>
  <c r="AJ35" i="15"/>
  <c r="F18" i="12"/>
  <c r="G18" i="12" s="1"/>
  <c r="AF54" i="9"/>
  <c r="E233" i="10"/>
  <c r="AF54" i="10" s="1"/>
  <c r="Z35" i="15"/>
  <c r="D18" i="12"/>
  <c r="E18" i="12" s="1"/>
  <c r="AF61" i="9"/>
  <c r="E238" i="10"/>
  <c r="AF61" i="10" s="1"/>
  <c r="AP60" i="9"/>
  <c r="F97" i="15"/>
  <c r="AP30" i="15" s="1"/>
  <c r="AT30" i="15" s="1"/>
  <c r="F237" i="10"/>
  <c r="AP60" i="10" s="1"/>
  <c r="AP54" i="9"/>
  <c r="F233" i="10"/>
  <c r="AP54" i="10" s="1"/>
  <c r="AF63" i="9"/>
  <c r="E240" i="10"/>
  <c r="AF63" i="10" s="1"/>
  <c r="AP53" i="9"/>
  <c r="F96" i="15"/>
  <c r="AP29" i="15" s="1"/>
  <c r="AT29" i="15" s="1"/>
  <c r="F232" i="10"/>
  <c r="AP53" i="10" s="1"/>
  <c r="F175" i="3"/>
  <c r="G175" i="3" s="1"/>
  <c r="H175" i="3" s="1"/>
  <c r="H217" i="3"/>
  <c r="T29" i="3" l="1"/>
  <c r="AN43" i="3"/>
  <c r="AD29" i="3"/>
  <c r="T43" i="3"/>
  <c r="AN29" i="3"/>
  <c r="AD43" i="3"/>
  <c r="AT32" i="15"/>
  <c r="D172" i="3"/>
  <c r="E172" i="3"/>
  <c r="D173" i="3"/>
  <c r="E173" i="3"/>
  <c r="D174" i="3"/>
  <c r="E174" i="3"/>
  <c r="E171" i="3"/>
  <c r="D171" i="3"/>
  <c r="F171" i="3" s="1"/>
  <c r="G171" i="3" s="1"/>
  <c r="H171" i="3" s="1"/>
  <c r="H157" i="3"/>
  <c r="H149" i="3"/>
  <c r="B141" i="3"/>
  <c r="H137" i="3" s="1"/>
  <c r="H133" i="3"/>
  <c r="B126" i="3"/>
  <c r="H123" i="3" s="1"/>
  <c r="B120" i="3"/>
  <c r="H115" i="3" s="1"/>
  <c r="B113" i="3"/>
  <c r="H110" i="3" s="1"/>
  <c r="B106" i="3"/>
  <c r="H101" i="3" s="1"/>
  <c r="B99" i="3"/>
  <c r="H96" i="3" s="1"/>
  <c r="E51" i="3"/>
  <c r="E52" i="3"/>
  <c r="E53" i="3"/>
  <c r="D51" i="3"/>
  <c r="D52" i="3"/>
  <c r="D53" i="3"/>
  <c r="C51" i="3"/>
  <c r="C52" i="3"/>
  <c r="C53" i="3"/>
  <c r="C50" i="3"/>
  <c r="AN39" i="3" l="1"/>
  <c r="AD25" i="3"/>
  <c r="T39" i="3"/>
  <c r="AN25" i="3"/>
  <c r="AD39" i="3"/>
  <c r="T25" i="3"/>
  <c r="AT35" i="15"/>
  <c r="H18" i="12"/>
  <c r="I18" i="12" s="1"/>
  <c r="F173" i="3"/>
  <c r="G173" i="3" s="1"/>
  <c r="H173" i="3" s="1"/>
  <c r="F174" i="3"/>
  <c r="G174" i="3" s="1"/>
  <c r="H174" i="3" s="1"/>
  <c r="F172" i="3"/>
  <c r="G172" i="3" s="1"/>
  <c r="H172" i="3" s="1"/>
  <c r="H112" i="3"/>
  <c r="H108" i="3"/>
  <c r="H94" i="3"/>
  <c r="H118" i="3"/>
  <c r="H134" i="3"/>
  <c r="H135" i="3" s="1"/>
  <c r="H117" i="3"/>
  <c r="H140" i="3"/>
  <c r="H98" i="3"/>
  <c r="H116" i="3"/>
  <c r="H139" i="3"/>
  <c r="F53" i="3"/>
  <c r="G53" i="3" s="1"/>
  <c r="H97" i="3"/>
  <c r="H114" i="3"/>
  <c r="H125" i="3"/>
  <c r="H138" i="3"/>
  <c r="H93" i="3"/>
  <c r="H95" i="3"/>
  <c r="H104" i="3"/>
  <c r="H107" i="3"/>
  <c r="H109" i="3"/>
  <c r="H121" i="3"/>
  <c r="H122" i="3"/>
  <c r="H103" i="3"/>
  <c r="H100" i="3"/>
  <c r="H102" i="3"/>
  <c r="H111" i="3"/>
  <c r="H124" i="3"/>
  <c r="H105" i="3"/>
  <c r="H119" i="3"/>
  <c r="H136" i="3"/>
  <c r="F51" i="3"/>
  <c r="G51" i="3" s="1"/>
  <c r="F50" i="3"/>
  <c r="G50" i="3" s="1"/>
  <c r="F52" i="3"/>
  <c r="G52" i="3" s="1"/>
  <c r="AN18" i="3" l="1"/>
  <c r="AN32" i="3" s="1"/>
  <c r="T18" i="3"/>
  <c r="T32" i="3" s="1"/>
  <c r="AD18" i="3"/>
  <c r="AD32" i="3" s="1"/>
  <c r="AN40" i="3"/>
  <c r="AD40" i="3"/>
  <c r="T26" i="3"/>
  <c r="AN26" i="3"/>
  <c r="AD26" i="3"/>
  <c r="T40" i="3"/>
  <c r="AN28" i="3"/>
  <c r="AD42" i="3"/>
  <c r="T28" i="3"/>
  <c r="T42" i="3"/>
  <c r="AN42" i="3"/>
  <c r="AD28" i="3"/>
  <c r="T27" i="3"/>
  <c r="AN27" i="3"/>
  <c r="T41" i="3"/>
  <c r="AN41" i="3"/>
  <c r="AD27" i="3"/>
  <c r="AD41" i="3"/>
  <c r="AN19" i="3"/>
  <c r="AN33" i="3" s="1"/>
  <c r="T19" i="3"/>
  <c r="T33" i="3" s="1"/>
  <c r="AD19" i="3"/>
  <c r="AD33" i="3" s="1"/>
  <c r="AN20" i="3"/>
  <c r="AN34" i="3" s="1"/>
  <c r="T20" i="3"/>
  <c r="T34" i="3" s="1"/>
  <c r="AD20" i="3"/>
  <c r="AD34" i="3" s="1"/>
  <c r="AD21" i="3"/>
  <c r="AD35" i="3" s="1"/>
  <c r="AN21" i="3"/>
  <c r="AN35" i="3" s="1"/>
  <c r="T21" i="3"/>
  <c r="T35" i="3" s="1"/>
  <c r="H187" i="3"/>
  <c r="H194" i="3"/>
  <c r="H120" i="3"/>
  <c r="H113" i="3"/>
  <c r="H201" i="3"/>
  <c r="H99" i="3"/>
  <c r="H141" i="3"/>
  <c r="H106" i="3"/>
  <c r="H126" i="3"/>
  <c r="H208" i="3"/>
  <c r="G61" i="3" l="1"/>
  <c r="G62" i="3"/>
  <c r="G63" i="3"/>
  <c r="G64" i="3"/>
  <c r="G65" i="3"/>
  <c r="G66" i="3"/>
  <c r="G67" i="3"/>
  <c r="G68" i="3"/>
  <c r="G69" i="3"/>
  <c r="G70" i="3"/>
  <c r="G58" i="3"/>
  <c r="G60" i="3"/>
  <c r="I59" i="3" l="1"/>
  <c r="I60" i="3"/>
  <c r="L60" i="3" s="1"/>
  <c r="I66" i="3"/>
  <c r="L66" i="3" s="1"/>
  <c r="I62" i="3"/>
  <c r="L62" i="3" s="1"/>
  <c r="L59" i="3"/>
  <c r="I68" i="3"/>
  <c r="L68" i="3" s="1"/>
  <c r="I63" i="3"/>
  <c r="L63" i="3" s="1"/>
  <c r="I65" i="3"/>
  <c r="L65" i="3" s="1"/>
  <c r="I69" i="3"/>
  <c r="L69" i="3" s="1"/>
  <c r="N32" i="1" l="1"/>
  <c r="N31" i="1"/>
  <c r="I31" i="1"/>
  <c r="J31" i="1"/>
  <c r="K31" i="1"/>
  <c r="K34" i="1" s="1"/>
  <c r="I32" i="1"/>
  <c r="J32" i="1"/>
  <c r="J34" i="1" s="1"/>
  <c r="K32" i="1"/>
  <c r="H32" i="1"/>
  <c r="H34" i="1" s="1"/>
  <c r="H31" i="1"/>
  <c r="I30" i="1"/>
  <c r="J30" i="1"/>
  <c r="K30" i="1"/>
  <c r="H30" i="1"/>
  <c r="E22" i="1"/>
  <c r="F22" i="1" s="1"/>
  <c r="G22" i="1" s="1"/>
  <c r="H22" i="1" s="1"/>
  <c r="I22" i="1" s="1"/>
  <c r="J22" i="1" s="1"/>
  <c r="K22" i="1" s="1"/>
  <c r="C11" i="1"/>
  <c r="O6" i="1" l="1"/>
  <c r="C26" i="3"/>
  <c r="O5" i="1"/>
  <c r="C25" i="3"/>
  <c r="E11" i="1"/>
  <c r="F11" i="1" s="1"/>
  <c r="G11" i="1" s="1"/>
  <c r="H11" i="1" s="1"/>
  <c r="D11" i="1"/>
  <c r="O7" i="1"/>
  <c r="L22" i="1"/>
  <c r="M22" i="1" s="1"/>
  <c r="I34" i="1"/>
  <c r="N34" i="1"/>
  <c r="R8" i="3" l="1"/>
  <c r="R11" i="3" s="1"/>
  <c r="C25" i="6"/>
  <c r="AB8" i="3"/>
  <c r="AB11" i="3" s="1"/>
  <c r="AL8" i="3"/>
  <c r="AL11" i="3" s="1"/>
  <c r="AB9" i="3"/>
  <c r="AB12" i="3" s="1"/>
  <c r="C26" i="6"/>
  <c r="AL9" i="3"/>
  <c r="AL12" i="3" s="1"/>
  <c r="R9" i="3"/>
  <c r="R12" i="3" s="1"/>
  <c r="E14" i="1"/>
  <c r="Q5" i="1" s="1"/>
  <c r="E13" i="1"/>
  <c r="P5" i="1" s="1"/>
  <c r="E15" i="1"/>
  <c r="R5" i="1" s="1"/>
  <c r="N22" i="1"/>
  <c r="O22" i="1" s="1"/>
  <c r="P22" i="1" s="1"/>
  <c r="Q22" i="1" s="1"/>
  <c r="R22" i="1" s="1"/>
  <c r="E24" i="1"/>
  <c r="P6" i="1" s="1"/>
  <c r="AL15" i="3" l="1"/>
  <c r="AL20" i="3"/>
  <c r="AP20" i="3" s="1"/>
  <c r="AL23" i="3"/>
  <c r="AP23" i="3" s="1"/>
  <c r="AL22" i="3"/>
  <c r="AP22" i="3" s="1"/>
  <c r="AL19" i="3"/>
  <c r="AP19" i="3" s="1"/>
  <c r="AL18" i="3"/>
  <c r="AP18" i="3" s="1"/>
  <c r="AL21" i="3"/>
  <c r="AP21" i="3" s="1"/>
  <c r="R9" i="6"/>
  <c r="C26" i="13"/>
  <c r="R8" i="6"/>
  <c r="C25" i="13"/>
  <c r="R16" i="3"/>
  <c r="AL16" i="3"/>
  <c r="AL46" i="3" s="1"/>
  <c r="AQ46" i="3" s="1"/>
  <c r="AB22" i="3"/>
  <c r="AF22" i="3" s="1"/>
  <c r="AB15" i="3"/>
  <c r="AB23" i="3"/>
  <c r="AF23" i="3" s="1"/>
  <c r="AB18" i="3"/>
  <c r="AF18" i="3" s="1"/>
  <c r="AB20" i="3"/>
  <c r="AF20" i="3" s="1"/>
  <c r="AB21" i="3"/>
  <c r="AF21" i="3" s="1"/>
  <c r="AB19" i="3"/>
  <c r="P7" i="1"/>
  <c r="AB16" i="3"/>
  <c r="R15" i="3"/>
  <c r="R20" i="3"/>
  <c r="V20" i="3" s="1"/>
  <c r="R23" i="3"/>
  <c r="R22" i="3"/>
  <c r="R21" i="3"/>
  <c r="V21" i="3" s="1"/>
  <c r="R19" i="3"/>
  <c r="V19" i="3" s="1"/>
  <c r="R18" i="3"/>
  <c r="S22" i="1"/>
  <c r="T22" i="1" s="1"/>
  <c r="U22" i="1" s="1"/>
  <c r="V22" i="1" s="1"/>
  <c r="W22" i="1" s="1"/>
  <c r="E26" i="1" s="1"/>
  <c r="R6" i="1" s="1"/>
  <c r="R7" i="1" s="1"/>
  <c r="E25" i="1"/>
  <c r="Q6" i="1" s="1"/>
  <c r="Q7" i="1" s="1"/>
  <c r="R13" i="3"/>
  <c r="V23" i="3"/>
  <c r="R8" i="1" l="1"/>
  <c r="H10" i="12"/>
  <c r="I10" i="12" s="1"/>
  <c r="Q8" i="1"/>
  <c r="F10" i="12"/>
  <c r="G10" i="12" s="1"/>
  <c r="R26" i="3"/>
  <c r="R33" i="3" s="1"/>
  <c r="R25" i="3"/>
  <c r="V25" i="3" s="1"/>
  <c r="R27" i="3"/>
  <c r="R34" i="3" s="1"/>
  <c r="R29" i="3"/>
  <c r="R28" i="3"/>
  <c r="R35" i="3" s="1"/>
  <c r="R30" i="3"/>
  <c r="R37" i="3" s="1"/>
  <c r="AF19" i="3"/>
  <c r="AL39" i="3"/>
  <c r="AQ39" i="3" s="1"/>
  <c r="AL43" i="3"/>
  <c r="AQ43" i="3" s="1"/>
  <c r="AL44" i="3"/>
  <c r="AQ44" i="3" s="1"/>
  <c r="AL41" i="3"/>
  <c r="AQ41" i="3" s="1"/>
  <c r="AL42" i="3"/>
  <c r="AQ42" i="3" s="1"/>
  <c r="AL40" i="3"/>
  <c r="AQ40" i="3" s="1"/>
  <c r="V18" i="3"/>
  <c r="R32" i="3"/>
  <c r="V32" i="3" s="1"/>
  <c r="AB44" i="3"/>
  <c r="AG44" i="3" s="1"/>
  <c r="AB41" i="3"/>
  <c r="AG41" i="3" s="1"/>
  <c r="AB39" i="3"/>
  <c r="AG39" i="3" s="1"/>
  <c r="AB42" i="3"/>
  <c r="AG42" i="3" s="1"/>
  <c r="AB43" i="3"/>
  <c r="AG43" i="3" s="1"/>
  <c r="AB40" i="3"/>
  <c r="AG40" i="3" s="1"/>
  <c r="R41" i="3"/>
  <c r="W41" i="3" s="1"/>
  <c r="R40" i="3"/>
  <c r="W40" i="3" s="1"/>
  <c r="R44" i="3"/>
  <c r="W44" i="3" s="1"/>
  <c r="R43" i="3"/>
  <c r="W43" i="3" s="1"/>
  <c r="R39" i="3"/>
  <c r="W39" i="3" s="1"/>
  <c r="R42" i="3"/>
  <c r="W42" i="3" s="1"/>
  <c r="R12" i="6"/>
  <c r="R16" i="6" s="1"/>
  <c r="R39" i="6" s="1"/>
  <c r="W39" i="6" s="1"/>
  <c r="AB9" i="6"/>
  <c r="P8" i="1"/>
  <c r="D10" i="12"/>
  <c r="E10" i="12" s="1"/>
  <c r="C25" i="7"/>
  <c r="U8" i="13"/>
  <c r="R11" i="6"/>
  <c r="AB8" i="6"/>
  <c r="AB46" i="3"/>
  <c r="AB25" i="3"/>
  <c r="AB32" i="3" s="1"/>
  <c r="AB30" i="3"/>
  <c r="AB37" i="3" s="1"/>
  <c r="AB26" i="3"/>
  <c r="AB33" i="3" s="1"/>
  <c r="AB29" i="3"/>
  <c r="AB36" i="3" s="1"/>
  <c r="AB27" i="3"/>
  <c r="AB34" i="3" s="1"/>
  <c r="AB28" i="3"/>
  <c r="AB35" i="3" s="1"/>
  <c r="R46" i="3"/>
  <c r="W46" i="3" s="1"/>
  <c r="U9" i="13"/>
  <c r="C26" i="7"/>
  <c r="AL29" i="3"/>
  <c r="AL36" i="3" s="1"/>
  <c r="AL25" i="3"/>
  <c r="AL32" i="3" s="1"/>
  <c r="AL30" i="3"/>
  <c r="AL37" i="3" s="1"/>
  <c r="AL26" i="3"/>
  <c r="AL33" i="3" s="1"/>
  <c r="AL28" i="3"/>
  <c r="AL35" i="3" s="1"/>
  <c r="AL27" i="3"/>
  <c r="AL34" i="3" s="1"/>
  <c r="V22" i="3"/>
  <c r="R40" i="6" l="1"/>
  <c r="W40" i="6" s="1"/>
  <c r="R46" i="6"/>
  <c r="W46" i="6" s="1"/>
  <c r="R42" i="6"/>
  <c r="W42" i="6" s="1"/>
  <c r="R41" i="6"/>
  <c r="W41" i="6" s="1"/>
  <c r="R43" i="6"/>
  <c r="W43" i="6" s="1"/>
  <c r="R44" i="6"/>
  <c r="W44" i="6" s="1"/>
  <c r="AL8" i="6"/>
  <c r="AL11" i="6" s="1"/>
  <c r="AB11" i="6"/>
  <c r="R36" i="3"/>
  <c r="V36" i="3" s="1"/>
  <c r="V29" i="3"/>
  <c r="C32" i="14"/>
  <c r="T9" i="7"/>
  <c r="T12" i="7" s="1"/>
  <c r="C26" i="9"/>
  <c r="AD9" i="7"/>
  <c r="AD12" i="7" s="1"/>
  <c r="AN9" i="7"/>
  <c r="AN12" i="7" s="1"/>
  <c r="AN16" i="7" s="1"/>
  <c r="U11" i="13"/>
  <c r="AE8" i="13"/>
  <c r="AB12" i="6"/>
  <c r="AL9" i="6"/>
  <c r="AL12" i="6" s="1"/>
  <c r="AL16" i="6" s="1"/>
  <c r="R15" i="6"/>
  <c r="R20" i="6"/>
  <c r="V20" i="6" s="1"/>
  <c r="R19" i="6"/>
  <c r="V19" i="6" s="1"/>
  <c r="R18" i="6"/>
  <c r="R13" i="6"/>
  <c r="R22" i="6"/>
  <c r="V22" i="6" s="1"/>
  <c r="R23" i="6"/>
  <c r="V23" i="6" s="1"/>
  <c r="R21" i="6"/>
  <c r="V21" i="6" s="1"/>
  <c r="U12" i="13"/>
  <c r="AE9" i="13"/>
  <c r="C31" i="14"/>
  <c r="AN8" i="7"/>
  <c r="AN11" i="7" s="1"/>
  <c r="AD8" i="7"/>
  <c r="AD11" i="7" s="1"/>
  <c r="T8" i="7"/>
  <c r="T11" i="7" s="1"/>
  <c r="C25" i="9"/>
  <c r="AN13" i="7"/>
  <c r="AP30" i="3"/>
  <c r="AP37" i="3"/>
  <c r="AF25" i="3"/>
  <c r="AF32" i="3"/>
  <c r="AF29" i="3"/>
  <c r="AF36" i="3"/>
  <c r="AG46" i="3"/>
  <c r="AB13" i="3"/>
  <c r="AF26" i="3"/>
  <c r="AF33" i="3"/>
  <c r="AF30" i="3"/>
  <c r="AF37" i="3"/>
  <c r="AF28" i="3"/>
  <c r="AF35" i="3"/>
  <c r="AP25" i="3"/>
  <c r="AP32" i="3"/>
  <c r="AP29" i="3"/>
  <c r="AP36" i="3"/>
  <c r="AP26" i="3"/>
  <c r="AP33" i="3"/>
  <c r="AP28" i="3"/>
  <c r="AP35" i="3"/>
  <c r="AF27" i="3"/>
  <c r="AF34" i="3"/>
  <c r="AP27" i="3"/>
  <c r="AP34" i="3"/>
  <c r="V28" i="3"/>
  <c r="V35" i="3"/>
  <c r="V30" i="3"/>
  <c r="V37" i="3"/>
  <c r="V34" i="3"/>
  <c r="V27" i="3"/>
  <c r="V26" i="3"/>
  <c r="V33" i="3"/>
  <c r="W18" i="3"/>
  <c r="AN50" i="7" l="1"/>
  <c r="AS50" i="7" s="1"/>
  <c r="AL13" i="6"/>
  <c r="AL46" i="6"/>
  <c r="AQ46" i="6" s="1"/>
  <c r="AB16" i="6"/>
  <c r="AB46" i="6" s="1"/>
  <c r="AG46" i="6" s="1"/>
  <c r="AD19" i="7"/>
  <c r="AD23" i="7"/>
  <c r="AD20" i="7"/>
  <c r="AD24" i="7"/>
  <c r="AD18" i="7"/>
  <c r="AD22" i="7"/>
  <c r="AD15" i="7"/>
  <c r="AD21" i="7"/>
  <c r="AD13" i="7"/>
  <c r="U16" i="13"/>
  <c r="U46" i="13" s="1"/>
  <c r="Z46" i="13" s="1"/>
  <c r="R25" i="6"/>
  <c r="V25" i="6" s="1"/>
  <c r="R30" i="6"/>
  <c r="V30" i="6" s="1"/>
  <c r="R28" i="6"/>
  <c r="R29" i="6"/>
  <c r="R26" i="6"/>
  <c r="R27" i="6"/>
  <c r="V27" i="6" s="1"/>
  <c r="U20" i="13"/>
  <c r="U19" i="13"/>
  <c r="U15" i="13"/>
  <c r="U18" i="13"/>
  <c r="U21" i="13"/>
  <c r="U22" i="13"/>
  <c r="U23" i="13"/>
  <c r="U13" i="13"/>
  <c r="T16" i="7"/>
  <c r="T50" i="7" s="1"/>
  <c r="Y50" i="7" s="1"/>
  <c r="AB15" i="6"/>
  <c r="AB20" i="6"/>
  <c r="AB21" i="6"/>
  <c r="AB23" i="6"/>
  <c r="AB22" i="6"/>
  <c r="AB18" i="6"/>
  <c r="AB19" i="6"/>
  <c r="AB13" i="6"/>
  <c r="C25" i="10"/>
  <c r="AO8" i="9"/>
  <c r="AO11" i="9" s="1"/>
  <c r="U8" i="9"/>
  <c r="U11" i="9" s="1"/>
  <c r="AE8" i="9"/>
  <c r="AE11" i="9" s="1"/>
  <c r="AO8" i="14"/>
  <c r="AO11" i="14" s="1"/>
  <c r="AE8" i="14"/>
  <c r="AE11" i="14" s="1"/>
  <c r="U8" i="14"/>
  <c r="U11" i="14" s="1"/>
  <c r="AD16" i="7"/>
  <c r="AD50" i="7" s="1"/>
  <c r="AI50" i="7" s="1"/>
  <c r="T18" i="7"/>
  <c r="T15" i="7"/>
  <c r="T22" i="7"/>
  <c r="T23" i="7"/>
  <c r="T24" i="7"/>
  <c r="T19" i="7"/>
  <c r="T21" i="7"/>
  <c r="T20" i="7"/>
  <c r="T13" i="7"/>
  <c r="AO9" i="13"/>
  <c r="AO12" i="13" s="1"/>
  <c r="AE12" i="13"/>
  <c r="AE11" i="13"/>
  <c r="AO8" i="13"/>
  <c r="AO11" i="13" s="1"/>
  <c r="U9" i="9"/>
  <c r="U12" i="9" s="1"/>
  <c r="C26" i="10"/>
  <c r="AO9" i="9"/>
  <c r="AO12" i="9" s="1"/>
  <c r="AE9" i="9"/>
  <c r="AE12" i="9" s="1"/>
  <c r="W22" i="3"/>
  <c r="AN18" i="7"/>
  <c r="AN15" i="7"/>
  <c r="AN23" i="7"/>
  <c r="AN19" i="7"/>
  <c r="AN20" i="7"/>
  <c r="AN24" i="7"/>
  <c r="AN22" i="7"/>
  <c r="AN21" i="7"/>
  <c r="V18" i="6"/>
  <c r="AL40" i="6"/>
  <c r="AQ40" i="6" s="1"/>
  <c r="AL41" i="6"/>
  <c r="AQ41" i="6" s="1"/>
  <c r="AL39" i="6"/>
  <c r="AQ39" i="6" s="1"/>
  <c r="AL43" i="6"/>
  <c r="AQ43" i="6" s="1"/>
  <c r="AL44" i="6"/>
  <c r="AQ44" i="6" s="1"/>
  <c r="AL42" i="6"/>
  <c r="AQ42" i="6" s="1"/>
  <c r="AN47" i="7"/>
  <c r="AS47" i="7" s="1"/>
  <c r="AN48" i="7"/>
  <c r="AS48" i="7" s="1"/>
  <c r="AN43" i="7"/>
  <c r="AS43" i="7" s="1"/>
  <c r="AN42" i="7"/>
  <c r="AS42" i="7" s="1"/>
  <c r="AN46" i="7"/>
  <c r="AS46" i="7" s="1"/>
  <c r="AN45" i="7"/>
  <c r="AS45" i="7" s="1"/>
  <c r="AN44" i="7"/>
  <c r="AS44" i="7" s="1"/>
  <c r="AO9" i="14"/>
  <c r="AO12" i="14" s="1"/>
  <c r="U9" i="14"/>
  <c r="U12" i="14" s="1"/>
  <c r="U16" i="14" s="1"/>
  <c r="AE9" i="14"/>
  <c r="AE12" i="14" s="1"/>
  <c r="AL15" i="6"/>
  <c r="AL21" i="6"/>
  <c r="AL20" i="6"/>
  <c r="AL23" i="6"/>
  <c r="AL18" i="6"/>
  <c r="AL22" i="6"/>
  <c r="AL19" i="6"/>
  <c r="AG18" i="3"/>
  <c r="AQ22" i="3"/>
  <c r="AQ23" i="3"/>
  <c r="AQ19" i="3"/>
  <c r="AQ18" i="3"/>
  <c r="AG23" i="3"/>
  <c r="AG19" i="3"/>
  <c r="AL13" i="3"/>
  <c r="AG22" i="3"/>
  <c r="AQ20" i="3"/>
  <c r="AQ21" i="3"/>
  <c r="AG21" i="3"/>
  <c r="AG20" i="3"/>
  <c r="W19" i="3"/>
  <c r="W20" i="3"/>
  <c r="W23" i="3"/>
  <c r="W21" i="3"/>
  <c r="R32" i="6" l="1"/>
  <c r="V32" i="6" s="1"/>
  <c r="W18" i="6" s="1"/>
  <c r="R37" i="6"/>
  <c r="V37" i="6" s="1"/>
  <c r="W23" i="6" s="1"/>
  <c r="R34" i="6"/>
  <c r="V34" i="6" s="1"/>
  <c r="W20" i="6" s="1"/>
  <c r="AP19" i="6"/>
  <c r="AP20" i="6"/>
  <c r="AO16" i="9"/>
  <c r="AO50" i="9" s="1"/>
  <c r="AT50" i="9" s="1"/>
  <c r="X20" i="7"/>
  <c r="AE8" i="10"/>
  <c r="AE11" i="10" s="1"/>
  <c r="AO8" i="10"/>
  <c r="AO11" i="10" s="1"/>
  <c r="U8" i="10"/>
  <c r="U11" i="10" s="1"/>
  <c r="AB26" i="6"/>
  <c r="AF26" i="6" s="1"/>
  <c r="AB27" i="6"/>
  <c r="AF27" i="6" s="1"/>
  <c r="AB25" i="6"/>
  <c r="AF25" i="6" s="1"/>
  <c r="AB30" i="6"/>
  <c r="AF30" i="6" s="1"/>
  <c r="AB28" i="6"/>
  <c r="AF28" i="6" s="1"/>
  <c r="AB29" i="6"/>
  <c r="AF29" i="6" s="1"/>
  <c r="U25" i="13"/>
  <c r="Y25" i="13" s="1"/>
  <c r="U29" i="13"/>
  <c r="Y29" i="13" s="1"/>
  <c r="U30" i="13"/>
  <c r="Y30" i="13" s="1"/>
  <c r="U28" i="13"/>
  <c r="Y28" i="13" s="1"/>
  <c r="U27" i="13"/>
  <c r="Y27" i="13" s="1"/>
  <c r="U26" i="13"/>
  <c r="Y26" i="13" s="1"/>
  <c r="AH21" i="7"/>
  <c r="AH24" i="7"/>
  <c r="AO16" i="14"/>
  <c r="AO50" i="14" s="1"/>
  <c r="AT50" i="14" s="1"/>
  <c r="AE16" i="13"/>
  <c r="AE46" i="13"/>
  <c r="AJ46" i="13" s="1"/>
  <c r="AE23" i="9"/>
  <c r="AE15" i="9"/>
  <c r="AE19" i="9"/>
  <c r="AE24" i="9"/>
  <c r="AE22" i="9"/>
  <c r="AE18" i="9"/>
  <c r="AE20" i="9"/>
  <c r="AE21" i="9"/>
  <c r="AE13" i="9"/>
  <c r="AF23" i="6"/>
  <c r="Y22" i="13"/>
  <c r="AP23" i="6"/>
  <c r="AE16" i="14"/>
  <c r="AE50" i="14" s="1"/>
  <c r="AJ50" i="14" s="1"/>
  <c r="AR24" i="7"/>
  <c r="AN32" i="7"/>
  <c r="AR32" i="7" s="1"/>
  <c r="AN31" i="7"/>
  <c r="AR31" i="7" s="1"/>
  <c r="AN28" i="7"/>
  <c r="AR28" i="7" s="1"/>
  <c r="AN30" i="7"/>
  <c r="AR30" i="7" s="1"/>
  <c r="AN27" i="7"/>
  <c r="AR27" i="7" s="1"/>
  <c r="AN26" i="7"/>
  <c r="AR26" i="7" s="1"/>
  <c r="AN29" i="7"/>
  <c r="AR29" i="7" s="1"/>
  <c r="AE16" i="9"/>
  <c r="AE50" i="9" s="1"/>
  <c r="AJ50" i="9" s="1"/>
  <c r="AO15" i="13"/>
  <c r="AO23" i="13"/>
  <c r="AO22" i="13"/>
  <c r="AO20" i="13"/>
  <c r="AO19" i="13"/>
  <c r="AO21" i="13"/>
  <c r="AO18" i="13"/>
  <c r="AO13" i="13"/>
  <c r="X24" i="7"/>
  <c r="X18" i="7"/>
  <c r="AE20" i="14"/>
  <c r="AE24" i="14"/>
  <c r="AE22" i="14"/>
  <c r="AI22" i="14" s="1"/>
  <c r="AE21" i="14"/>
  <c r="AI21" i="14" s="1"/>
  <c r="AE19" i="14"/>
  <c r="AI19" i="14" s="1"/>
  <c r="AE18" i="14"/>
  <c r="AI18" i="14" s="1"/>
  <c r="AE13" i="14"/>
  <c r="AE15" i="14"/>
  <c r="AE23" i="14"/>
  <c r="AO20" i="9"/>
  <c r="AO22" i="9"/>
  <c r="AO23" i="9"/>
  <c r="AO15" i="9"/>
  <c r="AO24" i="9"/>
  <c r="AO18" i="9"/>
  <c r="AO19" i="9"/>
  <c r="AO21" i="9"/>
  <c r="AO13" i="9"/>
  <c r="AF18" i="6"/>
  <c r="AF20" i="6"/>
  <c r="Y18" i="13"/>
  <c r="AH18" i="7"/>
  <c r="AH19" i="7"/>
  <c r="U50" i="14"/>
  <c r="Z50" i="14" s="1"/>
  <c r="U46" i="14"/>
  <c r="Z46" i="14" s="1"/>
  <c r="U44" i="14"/>
  <c r="Z44" i="14" s="1"/>
  <c r="U42" i="14"/>
  <c r="Z42" i="14" s="1"/>
  <c r="U48" i="14"/>
  <c r="Z48" i="14" s="1"/>
  <c r="U47" i="14"/>
  <c r="Z47" i="14" s="1"/>
  <c r="U43" i="14"/>
  <c r="Z43" i="14" s="1"/>
  <c r="U45" i="14"/>
  <c r="Z45" i="14" s="1"/>
  <c r="AR20" i="7"/>
  <c r="AR18" i="7"/>
  <c r="AE23" i="13"/>
  <c r="AE22" i="13"/>
  <c r="AE20" i="13"/>
  <c r="AE18" i="13"/>
  <c r="AE15" i="13"/>
  <c r="AE21" i="13"/>
  <c r="AE19" i="13"/>
  <c r="AE13" i="13"/>
  <c r="X23" i="7"/>
  <c r="AO15" i="14"/>
  <c r="AO22" i="14"/>
  <c r="AO21" i="14"/>
  <c r="AS21" i="14" s="1"/>
  <c r="AO19" i="14"/>
  <c r="AO13" i="14"/>
  <c r="AO18" i="14"/>
  <c r="AO20" i="14"/>
  <c r="AO23" i="14"/>
  <c r="AO24" i="14"/>
  <c r="AF22" i="6"/>
  <c r="Y23" i="13"/>
  <c r="V26" i="6"/>
  <c r="R33" i="6"/>
  <c r="V33" i="6" s="1"/>
  <c r="AP22" i="6"/>
  <c r="AP21" i="6"/>
  <c r="AR21" i="7"/>
  <c r="AR19" i="7"/>
  <c r="AO9" i="10"/>
  <c r="AO12" i="10" s="1"/>
  <c r="AE9" i="10"/>
  <c r="AE12" i="10" s="1"/>
  <c r="U9" i="10"/>
  <c r="U12" i="10" s="1"/>
  <c r="X21" i="7"/>
  <c r="X22" i="7"/>
  <c r="AD47" i="7"/>
  <c r="AI47" i="7" s="1"/>
  <c r="AD46" i="7"/>
  <c r="AI46" i="7" s="1"/>
  <c r="AD43" i="7"/>
  <c r="AI43" i="7" s="1"/>
  <c r="AD42" i="7"/>
  <c r="AI42" i="7" s="1"/>
  <c r="AD48" i="7"/>
  <c r="AI48" i="7" s="1"/>
  <c r="AD44" i="7"/>
  <c r="AI44" i="7" s="1"/>
  <c r="AD45" i="7"/>
  <c r="AI45" i="7" s="1"/>
  <c r="Y19" i="13"/>
  <c r="V29" i="6"/>
  <c r="R36" i="6"/>
  <c r="V36" i="6" s="1"/>
  <c r="AD27" i="7"/>
  <c r="AH27" i="7" s="1"/>
  <c r="AD28" i="7"/>
  <c r="AH28" i="7" s="1"/>
  <c r="AD32" i="7"/>
  <c r="AH32" i="7" s="1"/>
  <c r="AD26" i="7"/>
  <c r="AH26" i="7" s="1"/>
  <c r="AD30" i="7"/>
  <c r="AH30" i="7" s="1"/>
  <c r="AD31" i="7"/>
  <c r="AH31" i="7" s="1"/>
  <c r="AD29" i="7"/>
  <c r="AH29" i="7" s="1"/>
  <c r="AH20" i="7"/>
  <c r="AP18" i="6"/>
  <c r="AL27" i="6"/>
  <c r="AP27" i="6" s="1"/>
  <c r="AL26" i="6"/>
  <c r="AP26" i="6" s="1"/>
  <c r="AL25" i="6"/>
  <c r="AP25" i="6" s="1"/>
  <c r="AL28" i="6"/>
  <c r="AP28" i="6" s="1"/>
  <c r="AL29" i="6"/>
  <c r="AP29" i="6" s="1"/>
  <c r="AL30" i="6"/>
  <c r="AP30" i="6" s="1"/>
  <c r="AR22" i="7"/>
  <c r="AR23" i="7"/>
  <c r="U16" i="9"/>
  <c r="U50" i="9" s="1"/>
  <c r="Z50" i="9" s="1"/>
  <c r="AO16" i="13"/>
  <c r="AO46" i="13" s="1"/>
  <c r="AT46" i="13" s="1"/>
  <c r="X19" i="7"/>
  <c r="T26" i="7"/>
  <c r="X26" i="7" s="1"/>
  <c r="T29" i="7"/>
  <c r="X29" i="7" s="1"/>
  <c r="T31" i="7"/>
  <c r="X31" i="7" s="1"/>
  <c r="T28" i="7"/>
  <c r="X28" i="7" s="1"/>
  <c r="T32" i="7"/>
  <c r="X32" i="7" s="1"/>
  <c r="T27" i="7"/>
  <c r="X27" i="7" s="1"/>
  <c r="T30" i="7"/>
  <c r="X30" i="7" s="1"/>
  <c r="U24" i="14"/>
  <c r="Y24" i="14" s="1"/>
  <c r="U15" i="14"/>
  <c r="U21" i="14"/>
  <c r="U23" i="14"/>
  <c r="Y23" i="14" s="1"/>
  <c r="U18" i="14"/>
  <c r="Y18" i="14" s="1"/>
  <c r="U22" i="14"/>
  <c r="Y22" i="14" s="1"/>
  <c r="U13" i="14"/>
  <c r="U20" i="14"/>
  <c r="Y20" i="14" s="1"/>
  <c r="U19" i="14"/>
  <c r="Y19" i="14" s="1"/>
  <c r="U15" i="9"/>
  <c r="U18" i="9"/>
  <c r="U22" i="9"/>
  <c r="U20" i="9"/>
  <c r="U24" i="9"/>
  <c r="U21" i="9"/>
  <c r="U13" i="9"/>
  <c r="U19" i="9"/>
  <c r="U23" i="9"/>
  <c r="AF19" i="6"/>
  <c r="AF21" i="6"/>
  <c r="T42" i="7"/>
  <c r="Y42" i="7" s="1"/>
  <c r="T46" i="7"/>
  <c r="Y46" i="7" s="1"/>
  <c r="T44" i="7"/>
  <c r="Y44" i="7" s="1"/>
  <c r="T47" i="7"/>
  <c r="Y47" i="7" s="1"/>
  <c r="T43" i="7"/>
  <c r="Y43" i="7" s="1"/>
  <c r="T48" i="7"/>
  <c r="Y48" i="7" s="1"/>
  <c r="T45" i="7"/>
  <c r="Y45" i="7" s="1"/>
  <c r="Y21" i="13"/>
  <c r="Y20" i="13"/>
  <c r="V28" i="6"/>
  <c r="R35" i="6"/>
  <c r="V35" i="6" s="1"/>
  <c r="U39" i="13"/>
  <c r="Z39" i="13" s="1"/>
  <c r="U40" i="13"/>
  <c r="Z40" i="13" s="1"/>
  <c r="U42" i="13"/>
  <c r="Z42" i="13" s="1"/>
  <c r="U43" i="13"/>
  <c r="Z43" i="13" s="1"/>
  <c r="U44" i="13"/>
  <c r="Z44" i="13" s="1"/>
  <c r="U41" i="13"/>
  <c r="Z41" i="13" s="1"/>
  <c r="AH22" i="7"/>
  <c r="AH23" i="7"/>
  <c r="AB44" i="6"/>
  <c r="AG44" i="6" s="1"/>
  <c r="AB43" i="6"/>
  <c r="AG43" i="6" s="1"/>
  <c r="AB42" i="6"/>
  <c r="AG42" i="6" s="1"/>
  <c r="AB41" i="6"/>
  <c r="AG41" i="6" s="1"/>
  <c r="AB40" i="6"/>
  <c r="AG40" i="6" s="1"/>
  <c r="AB39" i="6"/>
  <c r="AG39" i="6" s="1"/>
  <c r="W49" i="3"/>
  <c r="D11" i="12" s="1"/>
  <c r="E11" i="12" s="1"/>
  <c r="AQ49" i="3"/>
  <c r="AG49" i="3"/>
  <c r="AB33" i="6" l="1"/>
  <c r="AF33" i="6" s="1"/>
  <c r="W22" i="6"/>
  <c r="AN34" i="7"/>
  <c r="AR34" i="7" s="1"/>
  <c r="AS18" i="7" s="1"/>
  <c r="W21" i="6"/>
  <c r="AN37" i="7"/>
  <c r="AR37" i="7" s="1"/>
  <c r="AS21" i="7" s="1"/>
  <c r="AB36" i="6"/>
  <c r="AF36" i="6" s="1"/>
  <c r="U35" i="13"/>
  <c r="Y35" i="13" s="1"/>
  <c r="Z21" i="13" s="1"/>
  <c r="AB34" i="6"/>
  <c r="AF34" i="6" s="1"/>
  <c r="AG20" i="6" s="1"/>
  <c r="AB35" i="6"/>
  <c r="AF35" i="6" s="1"/>
  <c r="U37" i="13"/>
  <c r="Y37" i="13" s="1"/>
  <c r="Z22" i="13" s="1"/>
  <c r="AN36" i="7"/>
  <c r="AR36" i="7" s="1"/>
  <c r="AS20" i="7" s="1"/>
  <c r="AD38" i="7"/>
  <c r="AH38" i="7" s="1"/>
  <c r="AI22" i="7" s="1"/>
  <c r="AL32" i="6"/>
  <c r="AP32" i="6" s="1"/>
  <c r="AQ18" i="6" s="1"/>
  <c r="T38" i="7"/>
  <c r="X38" i="7" s="1"/>
  <c r="Y22" i="7" s="1"/>
  <c r="AD39" i="7"/>
  <c r="AH39" i="7" s="1"/>
  <c r="AN39" i="7"/>
  <c r="AR39" i="7" s="1"/>
  <c r="U32" i="13"/>
  <c r="Y32" i="13" s="1"/>
  <c r="Z18" i="13" s="1"/>
  <c r="AB32" i="6"/>
  <c r="AF32" i="6" s="1"/>
  <c r="AG18" i="6" s="1"/>
  <c r="AD40" i="7"/>
  <c r="AH40" i="7" s="1"/>
  <c r="AI24" i="7" s="1"/>
  <c r="AD36" i="7"/>
  <c r="AH36" i="7" s="1"/>
  <c r="AI20" i="7" s="1"/>
  <c r="T34" i="7"/>
  <c r="X34" i="7" s="1"/>
  <c r="Y18" i="7" s="1"/>
  <c r="Y21" i="9"/>
  <c r="U16" i="10"/>
  <c r="AS23" i="9"/>
  <c r="AI24" i="9"/>
  <c r="U18" i="10"/>
  <c r="U15" i="10"/>
  <c r="U22" i="10"/>
  <c r="U20" i="10"/>
  <c r="U23" i="10"/>
  <c r="U19" i="10"/>
  <c r="U24" i="10"/>
  <c r="U13" i="10"/>
  <c r="U21" i="10"/>
  <c r="Y23" i="9"/>
  <c r="AO43" i="13"/>
  <c r="AT43" i="13" s="1"/>
  <c r="AO39" i="13"/>
  <c r="AT39" i="13" s="1"/>
  <c r="AO41" i="13"/>
  <c r="AT41" i="13" s="1"/>
  <c r="AO44" i="13"/>
  <c r="AT44" i="13" s="1"/>
  <c r="AO42" i="13"/>
  <c r="AT42" i="13" s="1"/>
  <c r="AO40" i="13"/>
  <c r="AT40" i="13" s="1"/>
  <c r="AL36" i="6"/>
  <c r="AP36" i="6" s="1"/>
  <c r="AS24" i="14"/>
  <c r="AO31" i="14"/>
  <c r="AO39" i="14" s="1"/>
  <c r="AO30" i="14"/>
  <c r="AO28" i="14"/>
  <c r="AO36" i="14" s="1"/>
  <c r="AO29" i="14"/>
  <c r="AO26" i="14"/>
  <c r="AO34" i="14" s="1"/>
  <c r="AO27" i="14"/>
  <c r="AO35" i="14" s="1"/>
  <c r="AO32" i="14"/>
  <c r="AI20" i="13"/>
  <c r="AS18" i="9"/>
  <c r="AS22" i="9"/>
  <c r="AS22" i="13"/>
  <c r="AE48" i="9"/>
  <c r="AJ48" i="9" s="1"/>
  <c r="AE43" i="9"/>
  <c r="AJ43" i="9" s="1"/>
  <c r="AE47" i="9"/>
  <c r="AJ47" i="9" s="1"/>
  <c r="AE42" i="9"/>
  <c r="AJ42" i="9" s="1"/>
  <c r="AE46" i="9"/>
  <c r="AJ46" i="9" s="1"/>
  <c r="AE44" i="9"/>
  <c r="AJ44" i="9" s="1"/>
  <c r="AE45" i="9"/>
  <c r="AJ45" i="9" s="1"/>
  <c r="AN40" i="7"/>
  <c r="AR40" i="7" s="1"/>
  <c r="AS24" i="7" s="1"/>
  <c r="AI20" i="9"/>
  <c r="AE43" i="13"/>
  <c r="AJ43" i="13" s="1"/>
  <c r="AE44" i="13"/>
  <c r="AJ44" i="13" s="1"/>
  <c r="AE40" i="13"/>
  <c r="AJ40" i="13" s="1"/>
  <c r="AE41" i="13"/>
  <c r="AJ41" i="13" s="1"/>
  <c r="AE42" i="13"/>
  <c r="AJ42" i="13" s="1"/>
  <c r="AE39" i="13"/>
  <c r="AJ39" i="13" s="1"/>
  <c r="AL33" i="6"/>
  <c r="AP33" i="6" s="1"/>
  <c r="AQ19" i="6" s="1"/>
  <c r="AG19" i="6"/>
  <c r="Y22" i="9"/>
  <c r="U43" i="9"/>
  <c r="Z43" i="9" s="1"/>
  <c r="U47" i="9"/>
  <c r="Z47" i="9" s="1"/>
  <c r="U42" i="9"/>
  <c r="Z42" i="9" s="1"/>
  <c r="U44" i="9"/>
  <c r="Z44" i="9" s="1"/>
  <c r="U46" i="9"/>
  <c r="Z46" i="9" s="1"/>
  <c r="U45" i="9"/>
  <c r="Z45" i="9" s="1"/>
  <c r="U48" i="9"/>
  <c r="Z48" i="9" s="1"/>
  <c r="U33" i="13"/>
  <c r="Y33" i="13" s="1"/>
  <c r="Z19" i="13" s="1"/>
  <c r="AN35" i="7"/>
  <c r="AR35" i="7" s="1"/>
  <c r="AS19" i="7" s="1"/>
  <c r="AL35" i="6"/>
  <c r="AP35" i="6" s="1"/>
  <c r="AQ21" i="6" s="1"/>
  <c r="W19" i="6"/>
  <c r="AS20" i="14"/>
  <c r="AE29" i="13"/>
  <c r="AI29" i="13" s="1"/>
  <c r="AE25" i="13"/>
  <c r="AI25" i="13" s="1"/>
  <c r="AE28" i="13"/>
  <c r="AI28" i="13" s="1"/>
  <c r="AE30" i="13"/>
  <c r="AI30" i="13" s="1"/>
  <c r="AE27" i="13"/>
  <c r="AI27" i="13" s="1"/>
  <c r="AE26" i="13"/>
  <c r="AI26" i="13" s="1"/>
  <c r="AI23" i="13"/>
  <c r="AE37" i="13"/>
  <c r="AI37" i="13" s="1"/>
  <c r="AS21" i="9"/>
  <c r="AO28" i="9"/>
  <c r="AO36" i="9" s="1"/>
  <c r="AO31" i="9"/>
  <c r="AO30" i="9"/>
  <c r="AO38" i="9" s="1"/>
  <c r="AO32" i="9"/>
  <c r="AO40" i="9" s="1"/>
  <c r="AO26" i="9"/>
  <c r="AO27" i="9"/>
  <c r="AO35" i="9" s="1"/>
  <c r="AO29" i="9"/>
  <c r="AI23" i="14"/>
  <c r="AI20" i="14"/>
  <c r="AS19" i="13"/>
  <c r="AO28" i="13"/>
  <c r="AS28" i="13" s="1"/>
  <c r="AO29" i="13"/>
  <c r="AS29" i="13" s="1"/>
  <c r="AO25" i="13"/>
  <c r="AS25" i="13" s="1"/>
  <c r="AO30" i="13"/>
  <c r="AS30" i="13" s="1"/>
  <c r="AO26" i="13"/>
  <c r="AS26" i="13" s="1"/>
  <c r="AO27" i="13"/>
  <c r="AS27" i="13" s="1"/>
  <c r="U36" i="13"/>
  <c r="Y36" i="13" s="1"/>
  <c r="AI22" i="9"/>
  <c r="AI23" i="9"/>
  <c r="AO46" i="14"/>
  <c r="AT46" i="14" s="1"/>
  <c r="AO42" i="14"/>
  <c r="AT42" i="14" s="1"/>
  <c r="AO43" i="14"/>
  <c r="AT43" i="14" s="1"/>
  <c r="AO45" i="14"/>
  <c r="AT45" i="14" s="1"/>
  <c r="AO47" i="14"/>
  <c r="AT47" i="14" s="1"/>
  <c r="AO44" i="14"/>
  <c r="AT44" i="14" s="1"/>
  <c r="AO48" i="14"/>
  <c r="AT48" i="14" s="1"/>
  <c r="AD37" i="7"/>
  <c r="AH37" i="7" s="1"/>
  <c r="AI21" i="7" s="1"/>
  <c r="T36" i="7"/>
  <c r="X36" i="7" s="1"/>
  <c r="Y20" i="7" s="1"/>
  <c r="AL34" i="6"/>
  <c r="AP34" i="6" s="1"/>
  <c r="AQ20" i="6" s="1"/>
  <c r="Y18" i="9"/>
  <c r="Y21" i="14"/>
  <c r="AS18" i="14"/>
  <c r="AS22" i="14"/>
  <c r="AI18" i="13"/>
  <c r="AD35" i="7"/>
  <c r="AH35" i="7" s="1"/>
  <c r="AI19" i="7" s="1"/>
  <c r="AS19" i="9"/>
  <c r="AE30" i="14"/>
  <c r="AE32" i="14"/>
  <c r="AE40" i="14" s="1"/>
  <c r="AE31" i="14"/>
  <c r="AE28" i="14"/>
  <c r="AE36" i="14" s="1"/>
  <c r="AE27" i="14"/>
  <c r="AE29" i="14"/>
  <c r="AE26" i="14"/>
  <c r="AS20" i="13"/>
  <c r="AE47" i="14"/>
  <c r="AJ47" i="14" s="1"/>
  <c r="AE45" i="14"/>
  <c r="AJ45" i="14" s="1"/>
  <c r="AE46" i="14"/>
  <c r="AJ46" i="14" s="1"/>
  <c r="AE44" i="14"/>
  <c r="AJ44" i="14" s="1"/>
  <c r="AE48" i="14"/>
  <c r="AJ48" i="14" s="1"/>
  <c r="AE43" i="14"/>
  <c r="AJ43" i="14" s="1"/>
  <c r="AE42" i="14"/>
  <c r="AJ42" i="14" s="1"/>
  <c r="AI21" i="9"/>
  <c r="Y24" i="9"/>
  <c r="U26" i="9"/>
  <c r="U34" i="9" s="1"/>
  <c r="U31" i="9"/>
  <c r="U39" i="9" s="1"/>
  <c r="U32" i="9"/>
  <c r="U40" i="9" s="1"/>
  <c r="U29" i="9"/>
  <c r="U37" i="9" s="1"/>
  <c r="U27" i="9"/>
  <c r="U35" i="9" s="1"/>
  <c r="U30" i="9"/>
  <c r="U38" i="9" s="1"/>
  <c r="U28" i="9"/>
  <c r="U36" i="9" s="1"/>
  <c r="U29" i="14"/>
  <c r="U32" i="14"/>
  <c r="U27" i="14"/>
  <c r="U28" i="14"/>
  <c r="U26" i="14"/>
  <c r="U31" i="14"/>
  <c r="U30" i="14"/>
  <c r="AE16" i="10"/>
  <c r="AI19" i="13"/>
  <c r="AS18" i="13"/>
  <c r="AL37" i="6"/>
  <c r="AP37" i="6" s="1"/>
  <c r="AQ22" i="6" s="1"/>
  <c r="AB37" i="6"/>
  <c r="AF37" i="6" s="1"/>
  <c r="AG23" i="6" s="1"/>
  <c r="AI19" i="9"/>
  <c r="AO18" i="10"/>
  <c r="AO24" i="10"/>
  <c r="AO20" i="10"/>
  <c r="AO15" i="10"/>
  <c r="AO23" i="10"/>
  <c r="AO19" i="10"/>
  <c r="AO22" i="10"/>
  <c r="AO21" i="10"/>
  <c r="AO13" i="10"/>
  <c r="U34" i="13"/>
  <c r="Y34" i="13" s="1"/>
  <c r="Z20" i="13" s="1"/>
  <c r="AG21" i="6"/>
  <c r="Y19" i="9"/>
  <c r="Y20" i="9"/>
  <c r="T35" i="7"/>
  <c r="X35" i="7" s="1"/>
  <c r="Y19" i="7" s="1"/>
  <c r="AN38" i="7"/>
  <c r="AR38" i="7" s="1"/>
  <c r="AS22" i="7" s="1"/>
  <c r="T37" i="7"/>
  <c r="X37" i="7" s="1"/>
  <c r="Y21" i="7" s="1"/>
  <c r="AO16" i="10"/>
  <c r="AO50" i="10" s="1"/>
  <c r="AT50" i="10" s="1"/>
  <c r="AS23" i="14"/>
  <c r="AS19" i="14"/>
  <c r="T39" i="7"/>
  <c r="X39" i="7" s="1"/>
  <c r="AI21" i="13"/>
  <c r="AI22" i="13"/>
  <c r="AD34" i="7"/>
  <c r="AH34" i="7" s="1"/>
  <c r="AI18" i="7" s="1"/>
  <c r="AS24" i="9"/>
  <c r="AS20" i="9"/>
  <c r="AI24" i="14"/>
  <c r="T40" i="7"/>
  <c r="X40" i="7" s="1"/>
  <c r="Y23" i="7" s="1"/>
  <c r="AS21" i="13"/>
  <c r="AS23" i="13"/>
  <c r="AI18" i="9"/>
  <c r="AE30" i="9"/>
  <c r="AE27" i="9"/>
  <c r="AE32" i="9"/>
  <c r="AE31" i="9"/>
  <c r="AE39" i="9" s="1"/>
  <c r="AE28" i="9"/>
  <c r="AE36" i="9" s="1"/>
  <c r="AE26" i="9"/>
  <c r="AE29" i="9"/>
  <c r="AE24" i="10"/>
  <c r="AE23" i="10"/>
  <c r="AE19" i="10"/>
  <c r="AE22" i="10"/>
  <c r="AE18" i="10"/>
  <c r="AE21" i="10"/>
  <c r="AE15" i="10"/>
  <c r="AE20" i="10"/>
  <c r="AO43" i="9"/>
  <c r="AT43" i="9" s="1"/>
  <c r="AO42" i="9"/>
  <c r="AT42" i="9" s="1"/>
  <c r="AO47" i="9"/>
  <c r="AT47" i="9" s="1"/>
  <c r="AO48" i="9"/>
  <c r="AT48" i="9" s="1"/>
  <c r="AO46" i="9"/>
  <c r="AT46" i="9" s="1"/>
  <c r="AO45" i="9"/>
  <c r="AT45" i="9" s="1"/>
  <c r="AO44" i="9"/>
  <c r="AT44" i="9" s="1"/>
  <c r="W52" i="3"/>
  <c r="AQ52" i="3"/>
  <c r="H11" i="12"/>
  <c r="I11" i="12" s="1"/>
  <c r="AG52" i="3"/>
  <c r="F11" i="12"/>
  <c r="G11" i="12" s="1"/>
  <c r="W49" i="6" l="1"/>
  <c r="W52" i="6" s="1"/>
  <c r="AO32" i="13"/>
  <c r="AS32" i="13" s="1"/>
  <c r="AT18" i="13" s="1"/>
  <c r="AS23" i="7"/>
  <c r="AS53" i="7" s="1"/>
  <c r="Z23" i="13"/>
  <c r="Z49" i="13" s="1"/>
  <c r="AO35" i="13"/>
  <c r="AS35" i="13" s="1"/>
  <c r="AT21" i="13" s="1"/>
  <c r="AI23" i="7"/>
  <c r="AI53" i="7" s="1"/>
  <c r="AE33" i="13"/>
  <c r="AI33" i="13" s="1"/>
  <c r="AJ19" i="13" s="1"/>
  <c r="AE35" i="13"/>
  <c r="AI35" i="13" s="1"/>
  <c r="AJ21" i="13" s="1"/>
  <c r="AQ23" i="6"/>
  <c r="AQ49" i="6" s="1"/>
  <c r="H12" i="12" s="1"/>
  <c r="I12" i="12" s="1"/>
  <c r="AO34" i="13"/>
  <c r="AS34" i="13" s="1"/>
  <c r="AT20" i="13" s="1"/>
  <c r="AE32" i="13"/>
  <c r="AI32" i="13" s="1"/>
  <c r="AJ18" i="13" s="1"/>
  <c r="AO33" i="13"/>
  <c r="AS33" i="13" s="1"/>
  <c r="AT19" i="13" s="1"/>
  <c r="D12" i="12"/>
  <c r="E12" i="12" s="1"/>
  <c r="Y37" i="9"/>
  <c r="Z56" i="9"/>
  <c r="AS38" i="9"/>
  <c r="AT57" i="9"/>
  <c r="AI23" i="10"/>
  <c r="AT54" i="14"/>
  <c r="AS35" i="14"/>
  <c r="AS21" i="10"/>
  <c r="AO32" i="10"/>
  <c r="AO40" i="10" s="1"/>
  <c r="AO29" i="10"/>
  <c r="AO37" i="10" s="1"/>
  <c r="AO30" i="10"/>
  <c r="AO27" i="10"/>
  <c r="AO35" i="10" s="1"/>
  <c r="AO31" i="10"/>
  <c r="AO39" i="10" s="1"/>
  <c r="AO26" i="10"/>
  <c r="AO34" i="10" s="1"/>
  <c r="AO28" i="10"/>
  <c r="AO36" i="10" s="1"/>
  <c r="AE45" i="10"/>
  <c r="AJ45" i="10" s="1"/>
  <c r="AE43" i="10"/>
  <c r="AJ43" i="10" s="1"/>
  <c r="AE47" i="10"/>
  <c r="AJ47" i="10" s="1"/>
  <c r="AE42" i="10"/>
  <c r="AJ42" i="10" s="1"/>
  <c r="AE48" i="10"/>
  <c r="AJ48" i="10" s="1"/>
  <c r="AE44" i="10"/>
  <c r="AJ44" i="10" s="1"/>
  <c r="AE46" i="10"/>
  <c r="AJ46" i="10" s="1"/>
  <c r="Y29" i="14"/>
  <c r="U63" i="14" s="1"/>
  <c r="Z63" i="14" s="1"/>
  <c r="AE35" i="14"/>
  <c r="AJ61" i="14"/>
  <c r="AI27" i="14"/>
  <c r="AT53" i="14"/>
  <c r="AS34" i="14"/>
  <c r="AT63" i="9"/>
  <c r="AS29" i="9"/>
  <c r="AI36" i="9"/>
  <c r="AE55" i="9" s="1"/>
  <c r="AJ55" i="9" s="1"/>
  <c r="AT61" i="14"/>
  <c r="AS27" i="14"/>
  <c r="Z58" i="9"/>
  <c r="Y39" i="9"/>
  <c r="Y24" i="10"/>
  <c r="AE13" i="10"/>
  <c r="Y22" i="10"/>
  <c r="U42" i="10"/>
  <c r="Z42" i="10" s="1"/>
  <c r="U43" i="10"/>
  <c r="Z43" i="10" s="1"/>
  <c r="U45" i="10"/>
  <c r="Z45" i="10" s="1"/>
  <c r="U46" i="10"/>
  <c r="Z46" i="10" s="1"/>
  <c r="U47" i="10"/>
  <c r="Z47" i="10" s="1"/>
  <c r="U48" i="10"/>
  <c r="Z48" i="10" s="1"/>
  <c r="U44" i="10"/>
  <c r="Z44" i="10" s="1"/>
  <c r="AI24" i="10"/>
  <c r="AI30" i="9"/>
  <c r="AE64" i="9" s="1"/>
  <c r="AJ64" i="9" s="1"/>
  <c r="AT55" i="9"/>
  <c r="AS36" i="9"/>
  <c r="AS39" i="14"/>
  <c r="AT58" i="14"/>
  <c r="AO42" i="10"/>
  <c r="AT42" i="10" s="1"/>
  <c r="AO48" i="10"/>
  <c r="AT48" i="10" s="1"/>
  <c r="AO45" i="10"/>
  <c r="AT45" i="10" s="1"/>
  <c r="AO44" i="10"/>
  <c r="AT44" i="10" s="1"/>
  <c r="AO46" i="10"/>
  <c r="AT46" i="10" s="1"/>
  <c r="AO43" i="10"/>
  <c r="AT43" i="10" s="1"/>
  <c r="AO47" i="10"/>
  <c r="AT47" i="10" s="1"/>
  <c r="AS20" i="10"/>
  <c r="U36" i="14"/>
  <c r="Y28" i="14"/>
  <c r="U62" i="14" s="1"/>
  <c r="Z62" i="14" s="1"/>
  <c r="AJ62" i="14"/>
  <c r="AI28" i="14"/>
  <c r="AT54" i="9"/>
  <c r="AS35" i="9"/>
  <c r="AT61" i="9"/>
  <c r="AS27" i="9"/>
  <c r="AT65" i="9"/>
  <c r="AS31" i="9"/>
  <c r="AE34" i="13"/>
  <c r="AI34" i="13" s="1"/>
  <c r="AJ20" i="13" s="1"/>
  <c r="AE28" i="10"/>
  <c r="AE36" i="10" s="1"/>
  <c r="AE30" i="10"/>
  <c r="AE31" i="10"/>
  <c r="AE39" i="10" s="1"/>
  <c r="AE26" i="10"/>
  <c r="AE32" i="10"/>
  <c r="AE29" i="10"/>
  <c r="AE37" i="10" s="1"/>
  <c r="AE27" i="10"/>
  <c r="AE35" i="10" s="1"/>
  <c r="AI19" i="10"/>
  <c r="AI29" i="9"/>
  <c r="AE63" i="9" s="1"/>
  <c r="AJ63" i="9" s="1"/>
  <c r="AI32" i="9"/>
  <c r="AE66" i="9" s="1"/>
  <c r="AJ66" i="9" s="1"/>
  <c r="AI40" i="14"/>
  <c r="AJ59" i="14"/>
  <c r="AT59" i="9"/>
  <c r="AS40" i="9"/>
  <c r="AJ22" i="13"/>
  <c r="Z54" i="9"/>
  <c r="Y35" i="9"/>
  <c r="AS23" i="10"/>
  <c r="AS18" i="10"/>
  <c r="AE50" i="10"/>
  <c r="AJ50" i="10" s="1"/>
  <c r="U39" i="14"/>
  <c r="Y31" i="14"/>
  <c r="U65" i="14" s="1"/>
  <c r="Z65" i="14"/>
  <c r="U40" i="14"/>
  <c r="Y32" i="14"/>
  <c r="U66" i="14" s="1"/>
  <c r="Z66" i="14" s="1"/>
  <c r="Y27" i="9"/>
  <c r="Z61" i="9"/>
  <c r="Z60" i="9"/>
  <c r="Y26" i="9"/>
  <c r="AE37" i="14"/>
  <c r="AI29" i="14"/>
  <c r="AJ63" i="14"/>
  <c r="AI32" i="14"/>
  <c r="AJ66" i="14"/>
  <c r="U37" i="14"/>
  <c r="AE38" i="9"/>
  <c r="AT66" i="9"/>
  <c r="AS32" i="9"/>
  <c r="AO37" i="9"/>
  <c r="AT55" i="14"/>
  <c r="AS36" i="14"/>
  <c r="AT66" i="14"/>
  <c r="AS32" i="14"/>
  <c r="AT62" i="14"/>
  <c r="AS28" i="14"/>
  <c r="AT20" i="14" s="1"/>
  <c r="Y20" i="10"/>
  <c r="AE40" i="9"/>
  <c r="U50" i="10"/>
  <c r="Z50" i="10" s="1"/>
  <c r="AI21" i="10"/>
  <c r="AI26" i="9"/>
  <c r="AE60" i="9" s="1"/>
  <c r="AJ60" i="9" s="1"/>
  <c r="AI27" i="9"/>
  <c r="AE61" i="9" s="1"/>
  <c r="AJ61" i="9" s="1"/>
  <c r="AE35" i="9"/>
  <c r="U34" i="14"/>
  <c r="Y26" i="14"/>
  <c r="U60" i="14" s="1"/>
  <c r="Z60" i="14" s="1"/>
  <c r="Y29" i="9"/>
  <c r="Z63" i="9"/>
  <c r="Z59" i="9"/>
  <c r="Y40" i="9"/>
  <c r="AE38" i="14"/>
  <c r="AJ64" i="14"/>
  <c r="AI30" i="14"/>
  <c r="AJ55" i="14"/>
  <c r="AI36" i="14"/>
  <c r="AT64" i="9"/>
  <c r="AS30" i="9"/>
  <c r="AS30" i="14"/>
  <c r="AT64" i="14"/>
  <c r="AI18" i="10"/>
  <c r="AI28" i="9"/>
  <c r="AE62" i="9" s="1"/>
  <c r="AJ62" i="9" s="1"/>
  <c r="AO37" i="13"/>
  <c r="AS37" i="13" s="1"/>
  <c r="AT22" i="13" s="1"/>
  <c r="Z55" i="9"/>
  <c r="Y36" i="9"/>
  <c r="AO38" i="10"/>
  <c r="AS22" i="10"/>
  <c r="Y28" i="9"/>
  <c r="Z62" i="9"/>
  <c r="Y32" i="9"/>
  <c r="Z66" i="9"/>
  <c r="Y34" i="9"/>
  <c r="Z53" i="9"/>
  <c r="AI39" i="9"/>
  <c r="AE58" i="9" s="1"/>
  <c r="AJ58" i="9" s="1"/>
  <c r="Y38" i="9"/>
  <c r="Z57" i="9"/>
  <c r="AS26" i="14"/>
  <c r="AT60" i="14"/>
  <c r="AT65" i="14"/>
  <c r="AS31" i="14"/>
  <c r="Y19" i="10"/>
  <c r="U26" i="10"/>
  <c r="U32" i="10"/>
  <c r="U40" i="10" s="1"/>
  <c r="U31" i="10"/>
  <c r="U39" i="10" s="1"/>
  <c r="U30" i="10"/>
  <c r="U38" i="10" s="1"/>
  <c r="U29" i="10"/>
  <c r="U37" i="10" s="1"/>
  <c r="U27" i="10"/>
  <c r="U35" i="10" s="1"/>
  <c r="U28" i="10"/>
  <c r="U36" i="10" s="1"/>
  <c r="AO39" i="9"/>
  <c r="AI20" i="10"/>
  <c r="AE38" i="10"/>
  <c r="AI22" i="10"/>
  <c r="AI31" i="9"/>
  <c r="AE65" i="9" s="1"/>
  <c r="AJ65" i="9" s="1"/>
  <c r="AE34" i="9"/>
  <c r="AE36" i="13"/>
  <c r="AI36" i="13" s="1"/>
  <c r="AS19" i="10"/>
  <c r="AS24" i="10"/>
  <c r="U38" i="14"/>
  <c r="Y30" i="14"/>
  <c r="U64" i="14" s="1"/>
  <c r="Z64" i="14"/>
  <c r="U35" i="14"/>
  <c r="Y27" i="14"/>
  <c r="U61" i="14" s="1"/>
  <c r="Z61" i="14" s="1"/>
  <c r="Y30" i="9"/>
  <c r="Z64" i="9"/>
  <c r="Y31" i="9"/>
  <c r="Z65" i="9"/>
  <c r="AE37" i="9"/>
  <c r="AE34" i="14"/>
  <c r="AJ60" i="14"/>
  <c r="AI26" i="14"/>
  <c r="AJ65" i="14"/>
  <c r="AI31" i="14"/>
  <c r="AO38" i="14"/>
  <c r="AG22" i="6"/>
  <c r="AG49" i="6" s="1"/>
  <c r="Y24" i="7"/>
  <c r="Y53" i="7" s="1"/>
  <c r="AE39" i="14"/>
  <c r="AT60" i="9"/>
  <c r="AS26" i="9"/>
  <c r="AT62" i="9"/>
  <c r="AS28" i="9"/>
  <c r="AJ23" i="13"/>
  <c r="AO36" i="13"/>
  <c r="AS36" i="13" s="1"/>
  <c r="AO34" i="9"/>
  <c r="AO37" i="14"/>
  <c r="AT63" i="14"/>
  <c r="AS29" i="14"/>
  <c r="AO40" i="14"/>
  <c r="Y21" i="10"/>
  <c r="Y23" i="10"/>
  <c r="Y18" i="10"/>
  <c r="AJ24" i="14" l="1"/>
  <c r="AT20" i="9"/>
  <c r="AJ23" i="14"/>
  <c r="AJ20" i="14"/>
  <c r="AQ52" i="6"/>
  <c r="Z18" i="9"/>
  <c r="Z21" i="9"/>
  <c r="Z22" i="9"/>
  <c r="Z23" i="9"/>
  <c r="AT23" i="9"/>
  <c r="Z56" i="10"/>
  <c r="Y37" i="10"/>
  <c r="Y38" i="10"/>
  <c r="Z57" i="10"/>
  <c r="AJ58" i="10"/>
  <c r="AI39" i="10"/>
  <c r="Z55" i="10"/>
  <c r="Y36" i="10"/>
  <c r="AS37" i="14"/>
  <c r="AT21" i="14" s="1"/>
  <c r="AT56" i="14"/>
  <c r="F12" i="12"/>
  <c r="G12" i="12" s="1"/>
  <c r="AG52" i="6"/>
  <c r="AJ55" i="10"/>
  <c r="AI36" i="10"/>
  <c r="Y26" i="10"/>
  <c r="Z60" i="10"/>
  <c r="AI37" i="14"/>
  <c r="AJ21" i="14" s="1"/>
  <c r="AJ56" i="14"/>
  <c r="Z19" i="9"/>
  <c r="AI32" i="10"/>
  <c r="AJ66" i="10"/>
  <c r="AS36" i="10"/>
  <c r="AO55" i="10" s="1"/>
  <c r="AT55" i="10"/>
  <c r="Z59" i="10"/>
  <c r="Y40" i="10"/>
  <c r="Y38" i="14"/>
  <c r="AT58" i="9"/>
  <c r="AS39" i="9"/>
  <c r="Z54" i="10"/>
  <c r="Y35" i="10"/>
  <c r="AS38" i="10"/>
  <c r="AO57" i="10" s="1"/>
  <c r="AT57" i="10"/>
  <c r="AJ60" i="10"/>
  <c r="AI26" i="10"/>
  <c r="U34" i="10"/>
  <c r="D14" i="12"/>
  <c r="E14" i="12" s="1"/>
  <c r="Y56" i="7"/>
  <c r="AI37" i="9"/>
  <c r="AS40" i="10"/>
  <c r="AO59" i="10" s="1"/>
  <c r="AT59" i="10"/>
  <c r="Y27" i="10"/>
  <c r="Z61" i="10"/>
  <c r="Y32" i="10"/>
  <c r="Z66" i="10"/>
  <c r="AS56" i="7"/>
  <c r="H14" i="12"/>
  <c r="I14" i="12" s="1"/>
  <c r="AE34" i="10"/>
  <c r="Z24" i="9"/>
  <c r="AJ56" i="10"/>
  <c r="AI37" i="10"/>
  <c r="Y37" i="14"/>
  <c r="Y40" i="14"/>
  <c r="AI29" i="10"/>
  <c r="AJ63" i="10"/>
  <c r="AJ64" i="10"/>
  <c r="AI30" i="10"/>
  <c r="AT19" i="9"/>
  <c r="AT18" i="14"/>
  <c r="AJ54" i="14"/>
  <c r="AI35" i="14"/>
  <c r="AJ19" i="14" s="1"/>
  <c r="AS31" i="10"/>
  <c r="AO65" i="10" s="1"/>
  <c r="AT65" i="10"/>
  <c r="AS32" i="10"/>
  <c r="AO66" i="10" s="1"/>
  <c r="AT66" i="10"/>
  <c r="AS35" i="10"/>
  <c r="AO54" i="10" s="1"/>
  <c r="AT54" i="10"/>
  <c r="Z63" i="10"/>
  <c r="Y29" i="10"/>
  <c r="AS34" i="10"/>
  <c r="AO53" i="10" s="1"/>
  <c r="AT53" i="10"/>
  <c r="AI35" i="10"/>
  <c r="AJ54" i="10"/>
  <c r="AI28" i="10"/>
  <c r="AJ62" i="10"/>
  <c r="AE40" i="10"/>
  <c r="AI56" i="7"/>
  <c r="F14" i="12"/>
  <c r="G14" i="12" s="1"/>
  <c r="AS27" i="10"/>
  <c r="AO61" i="10" s="1"/>
  <c r="AT61" i="10" s="1"/>
  <c r="AT24" i="9"/>
  <c r="Z58" i="10"/>
  <c r="Y39" i="10"/>
  <c r="AS40" i="14"/>
  <c r="AT24" i="14" s="1"/>
  <c r="AT59" i="14"/>
  <c r="AS38" i="14"/>
  <c r="AT22" i="14" s="1"/>
  <c r="AT57" i="14"/>
  <c r="AT23" i="13"/>
  <c r="AT49" i="13" s="1"/>
  <c r="Y30" i="10"/>
  <c r="Z64" i="10"/>
  <c r="Y34" i="14"/>
  <c r="AT56" i="9"/>
  <c r="AS37" i="9"/>
  <c r="AT21" i="9" s="1"/>
  <c r="Y36" i="14"/>
  <c r="AS28" i="10"/>
  <c r="AO62" i="10" s="1"/>
  <c r="AT62" i="10" s="1"/>
  <c r="AS30" i="10"/>
  <c r="AO64" i="10" s="1"/>
  <c r="AT64" i="10" s="1"/>
  <c r="AS37" i="10"/>
  <c r="AO56" i="10" s="1"/>
  <c r="AT56" i="10" s="1"/>
  <c r="AS34" i="9"/>
  <c r="AT18" i="9" s="1"/>
  <c r="AT53" i="9"/>
  <c r="AI39" i="14"/>
  <c r="AJ58" i="14"/>
  <c r="AJ53" i="14"/>
  <c r="AI34" i="14"/>
  <c r="AJ18" i="14" s="1"/>
  <c r="Y35" i="14"/>
  <c r="AI34" i="9"/>
  <c r="AJ57" i="10"/>
  <c r="AI38" i="10"/>
  <c r="Z62" i="10"/>
  <c r="Y28" i="10"/>
  <c r="Y31" i="10"/>
  <c r="Z65" i="10"/>
  <c r="AJ49" i="13"/>
  <c r="Z20" i="9"/>
  <c r="AI38" i="14"/>
  <c r="AJ22" i="14" s="1"/>
  <c r="AJ57" i="14"/>
  <c r="AI35" i="9"/>
  <c r="AI40" i="9"/>
  <c r="AI38" i="9"/>
  <c r="Y39" i="14"/>
  <c r="U58" i="14" s="1"/>
  <c r="Z58" i="14" s="1"/>
  <c r="AS39" i="10"/>
  <c r="AO58" i="10" s="1"/>
  <c r="AT58" i="10" s="1"/>
  <c r="D13" i="12"/>
  <c r="E13" i="12" s="1"/>
  <c r="Z52" i="13"/>
  <c r="AI27" i="10"/>
  <c r="AJ61" i="10"/>
  <c r="AI31" i="10"/>
  <c r="AJ65" i="10"/>
  <c r="AJ20" i="9"/>
  <c r="AS26" i="10"/>
  <c r="AO60" i="10" s="1"/>
  <c r="AT60" i="10"/>
  <c r="AS29" i="10"/>
  <c r="AO63" i="10" s="1"/>
  <c r="AT63" i="10" s="1"/>
  <c r="AT19" i="14"/>
  <c r="AT22" i="9"/>
  <c r="Z19" i="14" l="1"/>
  <c r="U54" i="14"/>
  <c r="Z54" i="14" s="1"/>
  <c r="Z23" i="14"/>
  <c r="U59" i="14"/>
  <c r="Z59" i="14" s="1"/>
  <c r="Z22" i="14"/>
  <c r="U57" i="14"/>
  <c r="Z57" i="14" s="1"/>
  <c r="Z20" i="14"/>
  <c r="U55" i="14"/>
  <c r="Z55" i="14" s="1"/>
  <c r="Z18" i="14"/>
  <c r="U53" i="14"/>
  <c r="Z53" i="14" s="1"/>
  <c r="Z21" i="14"/>
  <c r="U56" i="14"/>
  <c r="Z56" i="14" s="1"/>
  <c r="AJ23" i="9"/>
  <c r="AE59" i="9"/>
  <c r="AJ59" i="9" s="1"/>
  <c r="AJ22" i="9"/>
  <c r="AE57" i="9"/>
  <c r="AJ57" i="9" s="1"/>
  <c r="AJ19" i="9"/>
  <c r="AE54" i="9"/>
  <c r="AJ54" i="9" s="1"/>
  <c r="AJ18" i="9"/>
  <c r="AE53" i="9"/>
  <c r="AJ53" i="9" s="1"/>
  <c r="AJ21" i="9"/>
  <c r="AE56" i="9"/>
  <c r="AJ56" i="9" s="1"/>
  <c r="Z23" i="10"/>
  <c r="AT24" i="10"/>
  <c r="Z68" i="9"/>
  <c r="Z71" i="9" s="1"/>
  <c r="AT21" i="10"/>
  <c r="AT20" i="10"/>
  <c r="AJ22" i="10"/>
  <c r="AJ21" i="10"/>
  <c r="AJ68" i="14"/>
  <c r="F17" i="12" s="1"/>
  <c r="G17" i="12" s="1"/>
  <c r="AT22" i="10"/>
  <c r="AT23" i="14"/>
  <c r="AT68" i="14" s="1"/>
  <c r="Z24" i="14"/>
  <c r="AJ20" i="10"/>
  <c r="AT19" i="10"/>
  <c r="AT23" i="10"/>
  <c r="Z21" i="10"/>
  <c r="AT52" i="13"/>
  <c r="H13" i="12"/>
  <c r="I13" i="12" s="1"/>
  <c r="AI34" i="10"/>
  <c r="AJ18" i="10" s="1"/>
  <c r="AJ53" i="10"/>
  <c r="AT68" i="9"/>
  <c r="Z24" i="10"/>
  <c r="Z22" i="10"/>
  <c r="AT18" i="10"/>
  <c r="F13" i="12"/>
  <c r="G13" i="12" s="1"/>
  <c r="AJ52" i="13"/>
  <c r="AI40" i="10"/>
  <c r="AJ59" i="10"/>
  <c r="AJ19" i="10"/>
  <c r="Z53" i="10"/>
  <c r="Y34" i="10"/>
  <c r="Z18" i="10" s="1"/>
  <c r="Z19" i="10"/>
  <c r="Z20" i="10"/>
  <c r="AJ24" i="9"/>
  <c r="Z68" i="14" l="1"/>
  <c r="Z71" i="14" s="1"/>
  <c r="AJ68" i="9"/>
  <c r="AJ71" i="9" s="1"/>
  <c r="D15" i="12"/>
  <c r="E15" i="12" s="1"/>
  <c r="Z68" i="10"/>
  <c r="Z71" i="10" s="1"/>
  <c r="AJ71" i="14"/>
  <c r="H17" i="12"/>
  <c r="I17" i="12" s="1"/>
  <c r="AT71" i="14"/>
  <c r="AT68" i="10"/>
  <c r="H16" i="12" s="1"/>
  <c r="I16" i="12" s="1"/>
  <c r="D16" i="12"/>
  <c r="E16" i="12" s="1"/>
  <c r="F15" i="12"/>
  <c r="G15" i="12" s="1"/>
  <c r="AJ23" i="10"/>
  <c r="AJ24" i="10"/>
  <c r="H15" i="12"/>
  <c r="I15" i="12" s="1"/>
  <c r="AT71" i="9"/>
  <c r="D17" i="12" l="1"/>
  <c r="E17" i="12" s="1"/>
  <c r="AT71" i="10"/>
  <c r="AJ68" i="10"/>
  <c r="AJ71" i="10" s="1"/>
  <c r="F16" i="12" l="1"/>
  <c r="G16" i="12" s="1"/>
</calcChain>
</file>

<file path=xl/sharedStrings.xml><?xml version="1.0" encoding="utf-8"?>
<sst xmlns="http://schemas.openxmlformats.org/spreadsheetml/2006/main" count="6526" uniqueCount="275">
  <si>
    <t>MSW generation:</t>
  </si>
  <si>
    <t>million tonnes</t>
  </si>
  <si>
    <t>%</t>
  </si>
  <si>
    <t>yearly increase rate</t>
  </si>
  <si>
    <t>growth rate :</t>
  </si>
  <si>
    <t>Industrial waste generation</t>
  </si>
  <si>
    <t>ratio</t>
  </si>
  <si>
    <t>industrial</t>
  </si>
  <si>
    <t>unknown</t>
  </si>
  <si>
    <t>baltic</t>
  </si>
  <si>
    <t>black</t>
  </si>
  <si>
    <t>med</t>
  </si>
  <si>
    <t>north</t>
  </si>
  <si>
    <t>EU</t>
  </si>
  <si>
    <t>consumer (MSW)</t>
  </si>
  <si>
    <t>assessment</t>
  </si>
  <si>
    <t>items in 2015</t>
  </si>
  <si>
    <t>items MSW in 2015</t>
  </si>
  <si>
    <t>items MSW in 2020</t>
  </si>
  <si>
    <t>items industrial in 2015</t>
  </si>
  <si>
    <t>items industrial in 2020</t>
  </si>
  <si>
    <t>items in 2020</t>
  </si>
  <si>
    <t>recycling rate MSW</t>
  </si>
  <si>
    <t>disposal rate</t>
  </si>
  <si>
    <t>decrease</t>
  </si>
  <si>
    <t>items MSW plastic</t>
  </si>
  <si>
    <t>items MSW glass</t>
  </si>
  <si>
    <t>items MSW metals</t>
  </si>
  <si>
    <t>items MSW paper</t>
  </si>
  <si>
    <t>items MSW other</t>
  </si>
  <si>
    <t>packaging portion</t>
  </si>
  <si>
    <t>NOR</t>
  </si>
  <si>
    <t>packaging</t>
  </si>
  <si>
    <t>non packaging</t>
  </si>
  <si>
    <t>consumer</t>
  </si>
  <si>
    <t>BAL</t>
  </si>
  <si>
    <t>BLA</t>
  </si>
  <si>
    <t>MED</t>
  </si>
  <si>
    <t>items MSW plastic packaging</t>
  </si>
  <si>
    <t>items MSW glass packaging</t>
  </si>
  <si>
    <t>items MSW metals packaging</t>
  </si>
  <si>
    <t>items MSW paper packaging</t>
  </si>
  <si>
    <t>items MSW plastic non packaging</t>
  </si>
  <si>
    <t>items MSW glass non packaging</t>
  </si>
  <si>
    <t>items MSW metals non packaging</t>
  </si>
  <si>
    <t>items MSW paper non packaging</t>
  </si>
  <si>
    <t>items industrial packaging</t>
  </si>
  <si>
    <t>items industrial plastic packaging</t>
  </si>
  <si>
    <t>items MSW packaging</t>
  </si>
  <si>
    <t>items industrial glass packaging</t>
  </si>
  <si>
    <t>items industrial metals packaging</t>
  </si>
  <si>
    <t>items industrial paper packaging</t>
  </si>
  <si>
    <t>items MSW other packaging</t>
  </si>
  <si>
    <t>km</t>
  </si>
  <si>
    <t>Share of coastline</t>
  </si>
  <si>
    <t># of surveys</t>
  </si>
  <si>
    <t>Baltic Sea</t>
  </si>
  <si>
    <t>Mediterranean Sea</t>
  </si>
  <si>
    <t>North Sea</t>
  </si>
  <si>
    <t>Black Sea</t>
  </si>
  <si>
    <t>Total coast line</t>
  </si>
  <si>
    <t>recycling rate MSW fractions</t>
  </si>
  <si>
    <t>plastic</t>
  </si>
  <si>
    <t>glass</t>
  </si>
  <si>
    <t>metals</t>
  </si>
  <si>
    <t>paper</t>
  </si>
  <si>
    <t>decrease %</t>
  </si>
  <si>
    <t>EU averages are weighed, based on:</t>
  </si>
  <si>
    <t>packaging material portions</t>
  </si>
  <si>
    <t>SomVanfrequency</t>
  </si>
  <si>
    <t>seacode</t>
  </si>
  <si>
    <t>material name</t>
  </si>
  <si>
    <t>use category name</t>
  </si>
  <si>
    <t>source activity name</t>
  </si>
  <si>
    <t>cloth/textile</t>
  </si>
  <si>
    <t>professional</t>
  </si>
  <si>
    <t>metal</t>
  </si>
  <si>
    <t>paper/cardboard</t>
  </si>
  <si>
    <t>plastic / polystyrene</t>
  </si>
  <si>
    <t>processed wood</t>
  </si>
  <si>
    <t>sanitary</t>
  </si>
  <si>
    <t xml:space="preserve">EU : </t>
  </si>
  <si>
    <t>other</t>
  </si>
  <si>
    <t>items industrial other packaging</t>
  </si>
  <si>
    <t>decrease source</t>
  </si>
  <si>
    <t>recycling rate packaging</t>
  </si>
  <si>
    <t>plastic packaging</t>
  </si>
  <si>
    <t>glass packaging</t>
  </si>
  <si>
    <t>metal packaging</t>
  </si>
  <si>
    <t>paper packaging</t>
  </si>
  <si>
    <t>no disposal increase</t>
  </si>
  <si>
    <t>items industrial non packaging</t>
  </si>
  <si>
    <t>materials in MSW</t>
  </si>
  <si>
    <t>Expr1000</t>
  </si>
  <si>
    <t>plastics</t>
  </si>
  <si>
    <t>assessed numbers</t>
  </si>
  <si>
    <t>items MSW other non packaging</t>
  </si>
  <si>
    <t>-</t>
  </si>
  <si>
    <t>BAU items in 2020</t>
  </si>
  <si>
    <t>ML decrease</t>
  </si>
  <si>
    <t>calculated</t>
  </si>
  <si>
    <t>lowest</t>
  </si>
  <si>
    <t>parameters</t>
  </si>
  <si>
    <t>-------&gt;</t>
  </si>
  <si>
    <t>wood packaging</t>
  </si>
  <si>
    <t>items MSW wood packaging</t>
  </si>
  <si>
    <t>wood</t>
  </si>
  <si>
    <t>items MSW wood</t>
  </si>
  <si>
    <t>items MSW wood non packaging</t>
  </si>
  <si>
    <t>items industrial wood packaging</t>
  </si>
  <si>
    <t>aluminium packaging</t>
  </si>
  <si>
    <t>steel packaging</t>
  </si>
  <si>
    <t>ratio metal packaging</t>
  </si>
  <si>
    <t>steel</t>
  </si>
  <si>
    <t>aluminium</t>
  </si>
  <si>
    <t>items MSW steel packaging</t>
  </si>
  <si>
    <t>items MSW aluminium packaging</t>
  </si>
  <si>
    <t>items MSW steel non packaging</t>
  </si>
  <si>
    <t>items MSW aluminium non packaging</t>
  </si>
  <si>
    <t>items MSW steel</t>
  </si>
  <si>
    <t>items MSW aluminium</t>
  </si>
  <si>
    <t>items industrial steel packaging</t>
  </si>
  <si>
    <t>items industrial aluminium packaging</t>
  </si>
  <si>
    <t>importance of landfill for marine litter</t>
  </si>
  <si>
    <t>Expr2</t>
  </si>
  <si>
    <t>Expr1</t>
  </si>
  <si>
    <t>agriculture</t>
  </si>
  <si>
    <t>aquaculture</t>
  </si>
  <si>
    <t>coast beach tourism</t>
  </si>
  <si>
    <t>construction and demolition</t>
  </si>
  <si>
    <t>dumps and landfills</t>
  </si>
  <si>
    <t>fishing</t>
  </si>
  <si>
    <t>household</t>
  </si>
  <si>
    <t>other industry land</t>
  </si>
  <si>
    <t>other marine ind</t>
  </si>
  <si>
    <t>port activity</t>
  </si>
  <si>
    <t>recreational boating</t>
  </si>
  <si>
    <t>recreational fishing</t>
  </si>
  <si>
    <t>shipping</t>
  </si>
  <si>
    <t>toilet wastewater</t>
  </si>
  <si>
    <t>waste collection transport</t>
  </si>
  <si>
    <t>total score of probabilities</t>
  </si>
  <si>
    <t>sea</t>
  </si>
  <si>
    <t>sum</t>
  </si>
  <si>
    <t>reduction</t>
  </si>
  <si>
    <t>increase 2015-2030</t>
  </si>
  <si>
    <t>items MSW in 2030</t>
  </si>
  <si>
    <t>items industrial in 2030</t>
  </si>
  <si>
    <t>items in 2030</t>
  </si>
  <si>
    <t>actual recycling level</t>
  </si>
  <si>
    <t>BAU items in 2030</t>
  </si>
  <si>
    <t>high target value</t>
  </si>
  <si>
    <t>summary</t>
  </si>
  <si>
    <t>items 2015</t>
  </si>
  <si>
    <t>items 2020</t>
  </si>
  <si>
    <t>increase 2015-2020</t>
  </si>
  <si>
    <t>ML inflow evolution 2015-2020</t>
  </si>
  <si>
    <t>scenario maximum feasible</t>
  </si>
  <si>
    <t>scenario plastics only</t>
  </si>
  <si>
    <t>evolution (%)</t>
  </si>
  <si>
    <t>items 2025</t>
  </si>
  <si>
    <t>items 2030</t>
  </si>
  <si>
    <t>ML inflow evolution 2015-2025</t>
  </si>
  <si>
    <t>ML inflow evolution 2015-2030</t>
  </si>
  <si>
    <t>data from calculations waste scenario indicators</t>
  </si>
  <si>
    <t>data from beach litter results</t>
  </si>
  <si>
    <t>increase 2015-2025</t>
  </si>
  <si>
    <t>sum:</t>
  </si>
  <si>
    <t>decrease of ML (%):</t>
  </si>
  <si>
    <t>ratio industrial / consumer ML</t>
  </si>
  <si>
    <t>as in BAU</t>
  </si>
  <si>
    <t>items MSW in 2025</t>
  </si>
  <si>
    <t>items industrial in 2025</t>
  </si>
  <si>
    <t>BAU items in 2025</t>
  </si>
  <si>
    <t>packaging recalculated</t>
  </si>
  <si>
    <t>BAU</t>
  </si>
  <si>
    <t>option 1 full implementation</t>
  </si>
  <si>
    <t>option 2 single calculation method</t>
  </si>
  <si>
    <t>option 3.1 higher mun waste recycling targets</t>
  </si>
  <si>
    <t>option 3.2 higher packaging waste recycling targets</t>
  </si>
  <si>
    <t>option 3.3 landfill ban</t>
  </si>
  <si>
    <t>option 3.4 combination</t>
  </si>
  <si>
    <t>motivation see report</t>
  </si>
  <si>
    <t>proposed target</t>
  </si>
  <si>
    <t>as in option 1</t>
  </si>
  <si>
    <t>nr of items</t>
  </si>
  <si>
    <t>items per 100 m</t>
  </si>
  <si>
    <t>items over full coastline</t>
  </si>
  <si>
    <t>EU share</t>
  </si>
  <si>
    <t>items per 100m</t>
  </si>
  <si>
    <t>items per coastline</t>
  </si>
  <si>
    <t>recalculated</t>
  </si>
  <si>
    <t>% packaging</t>
  </si>
  <si>
    <t>items in 2025</t>
  </si>
  <si>
    <t>ferrous packaging</t>
  </si>
  <si>
    <t>non-ferrous packaging</t>
  </si>
  <si>
    <t>disposal</t>
  </si>
  <si>
    <t>decrease%</t>
  </si>
  <si>
    <t>% steel recycling</t>
  </si>
  <si>
    <t>% alu recycling</t>
  </si>
  <si>
    <t>We assume this ratio valid as well for non packaging MSW metal waste</t>
  </si>
  <si>
    <t>metal recycled</t>
  </si>
  <si>
    <t>steel recycled</t>
  </si>
  <si>
    <t>alu recycled</t>
  </si>
  <si>
    <t>% steel packaging</t>
  </si>
  <si>
    <t>% alu packaging</t>
  </si>
  <si>
    <t>alu</t>
  </si>
  <si>
    <t>steel recycling percentage</t>
  </si>
  <si>
    <t>alu recycling percentage</t>
  </si>
  <si>
    <t>converting metal data into steel and aluminium data</t>
  </si>
  <si>
    <t>decrease of disposal</t>
  </si>
  <si>
    <t>defined targets</t>
  </si>
  <si>
    <t>as in option 2</t>
  </si>
  <si>
    <t>conversion of metal data into steel and aluminium data</t>
  </si>
  <si>
    <t>average landfill source</t>
  </si>
  <si>
    <t>weighed score</t>
  </si>
  <si>
    <t>probability source landfills and dumpsites + waste collection treatment</t>
  </si>
  <si>
    <t>% landfill waste treatment source</t>
  </si>
  <si>
    <t>reduction due to landfill diversion</t>
  </si>
  <si>
    <t>MSW plastics</t>
  </si>
  <si>
    <t>MSW glass</t>
  </si>
  <si>
    <t>MSW metals</t>
  </si>
  <si>
    <t>MSW paper</t>
  </si>
  <si>
    <t>MSW wood</t>
  </si>
  <si>
    <t>packaging plastics</t>
  </si>
  <si>
    <t>packaging glass</t>
  </si>
  <si>
    <t>packaging steel</t>
  </si>
  <si>
    <t>packaging aluminium</t>
  </si>
  <si>
    <t>packaging paper</t>
  </si>
  <si>
    <t>packaging wood</t>
  </si>
  <si>
    <t>landfill BAU</t>
  </si>
  <si>
    <t>landfill reduction due to landfill diversion</t>
  </si>
  <si>
    <t>landfill based marine litter reduction</t>
  </si>
  <si>
    <t>landfill based marine litter under option 3.3</t>
  </si>
  <si>
    <t>reduction factor</t>
  </si>
  <si>
    <t>reduction factor to be used</t>
  </si>
  <si>
    <t>as in option 3.1</t>
  </si>
  <si>
    <t>as in option 3.2</t>
  </si>
  <si>
    <t>decrease%M</t>
  </si>
  <si>
    <t>as in option 3.3</t>
  </si>
  <si>
    <t>population 2010</t>
  </si>
  <si>
    <t>population 2015</t>
  </si>
  <si>
    <t>population 2020</t>
  </si>
  <si>
    <t>population 2025</t>
  </si>
  <si>
    <t>population 2030</t>
  </si>
  <si>
    <t>kg/inh (absolute decoupling)</t>
  </si>
  <si>
    <t>generation MSW per capita</t>
  </si>
  <si>
    <t>thousand tonnes</t>
  </si>
  <si>
    <t>generation MSW 2010</t>
  </si>
  <si>
    <t>generation MSW 2015</t>
  </si>
  <si>
    <t>generation MSW 2020</t>
  </si>
  <si>
    <t>generation MSW 2025</t>
  </si>
  <si>
    <t>generation MSW 2030</t>
  </si>
  <si>
    <t>inh</t>
  </si>
  <si>
    <t>landfill maximum feasible</t>
  </si>
  <si>
    <t>average landfill source under max feasible scenario</t>
  </si>
  <si>
    <t>reduction under max feasible scenario</t>
  </si>
  <si>
    <t>ratio industrial / consumer plastic ML</t>
  </si>
  <si>
    <t>Baltic</t>
  </si>
  <si>
    <t>Black</t>
  </si>
  <si>
    <t>mediterr.</t>
  </si>
  <si>
    <t>North</t>
  </si>
  <si>
    <t>items/100m</t>
  </si>
  <si>
    <t>items</t>
  </si>
  <si>
    <t>recycling rate plastic MSW</t>
  </si>
  <si>
    <t>as in option 3.4</t>
  </si>
  <si>
    <t>per 100 m</t>
  </si>
  <si>
    <t>total</t>
  </si>
  <si>
    <t>plastic packaging recycling rate</t>
  </si>
  <si>
    <t>plastic packaging disposal decrease %</t>
  </si>
  <si>
    <t>legenda:</t>
  </si>
  <si>
    <t>absolute decoupling</t>
  </si>
  <si>
    <t>packaging portion plastics</t>
  </si>
  <si>
    <t>EU averages</t>
  </si>
  <si>
    <t>packaging material portions recalculation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</si>
</sst>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0"/>
    <numFmt numFmtId="167" formatCode="#,##0.0000000"/>
    <numFmt numFmtId="168" formatCode="0.0000"/>
    <numFmt numFmtId="169" formatCode="0.00000"/>
    <numFmt numFmtId="170" formatCode="#,##0.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i/>
      <sz val="11"/>
      <color theme="0" tint="-0.499984740745262"/>
      <name val="Tahoma"/>
      <family val="2"/>
    </font>
    <font>
      <i/>
      <sz val="10"/>
      <color theme="0" tint="-0.499984740745262"/>
      <name val="Arial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i/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/>
      <bottom/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 style="thick">
        <color theme="3" tint="0.39994506668294322"/>
      </bottom>
      <diagonal/>
    </border>
    <border>
      <left/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 style="thin">
        <color indexed="64"/>
      </right>
      <top style="thick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ck">
        <color theme="4" tint="-0.24994659260841701"/>
      </right>
      <top style="thick">
        <color theme="4" tint="-0.24994659260841701"/>
      </top>
      <bottom style="thin">
        <color indexed="64"/>
      </bottom>
      <diagonal/>
    </border>
    <border>
      <left style="thick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n">
        <color indexed="64"/>
      </right>
      <top style="thin">
        <color indexed="64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 tint="-0.24994659260841701"/>
      </bottom>
      <diagonal/>
    </border>
    <border>
      <left style="thin">
        <color indexed="64"/>
      </left>
      <right style="thick">
        <color theme="4" tint="-0.24994659260841701"/>
      </right>
      <top style="thin">
        <color indexed="64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 style="thick">
        <color theme="4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indexed="22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n">
        <color indexed="22"/>
      </top>
      <bottom style="thin">
        <color indexed="22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n">
        <color indexed="22"/>
      </top>
      <bottom style="thick">
        <color theme="8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/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n">
        <color indexed="22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22"/>
      </top>
      <bottom style="thin">
        <color indexed="22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22"/>
      </top>
      <bottom style="thick">
        <color theme="4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ck">
        <color rgb="FF31869B"/>
      </left>
      <right/>
      <top style="thick">
        <color rgb="FF31869B"/>
      </top>
      <bottom/>
      <diagonal/>
    </border>
    <border>
      <left/>
      <right/>
      <top style="thick">
        <color rgb="FF31869B"/>
      </top>
      <bottom/>
      <diagonal/>
    </border>
    <border>
      <left/>
      <right style="thick">
        <color rgb="FF31869B"/>
      </right>
      <top style="thick">
        <color rgb="FF31869B"/>
      </top>
      <bottom/>
      <diagonal/>
    </border>
    <border>
      <left style="thick">
        <color rgb="FF31869B"/>
      </left>
      <right/>
      <top/>
      <bottom/>
      <diagonal/>
    </border>
    <border>
      <left/>
      <right style="thick">
        <color rgb="FF31869B"/>
      </right>
      <top/>
      <bottom/>
      <diagonal/>
    </border>
    <border>
      <left style="thick">
        <color rgb="FF31869B"/>
      </left>
      <right/>
      <top/>
      <bottom style="thick">
        <color rgb="FF31869B"/>
      </bottom>
      <diagonal/>
    </border>
    <border>
      <left/>
      <right/>
      <top/>
      <bottom style="thick">
        <color rgb="FF31869B"/>
      </bottom>
      <diagonal/>
    </border>
    <border>
      <left/>
      <right style="thick">
        <color rgb="FF31869B"/>
      </right>
      <top/>
      <bottom style="thick">
        <color rgb="FF31869B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31869B"/>
      </left>
      <right style="thick">
        <color rgb="FF31869B"/>
      </right>
      <top style="thick">
        <color rgb="FF31869B"/>
      </top>
      <bottom style="thin">
        <color indexed="22"/>
      </bottom>
      <diagonal/>
    </border>
    <border>
      <left style="thick">
        <color rgb="FF31869B"/>
      </left>
      <right style="thick">
        <color rgb="FF31869B"/>
      </right>
      <top style="thin">
        <color indexed="22"/>
      </top>
      <bottom style="thin">
        <color indexed="22"/>
      </bottom>
      <diagonal/>
    </border>
    <border>
      <left style="thick">
        <color rgb="FF31869B"/>
      </left>
      <right style="thick">
        <color rgb="FF31869B"/>
      </right>
      <top style="thin">
        <color indexed="22"/>
      </top>
      <bottom style="thick">
        <color rgb="FF31869B"/>
      </bottom>
      <diagonal/>
    </border>
    <border>
      <left style="thick">
        <color rgb="FF5E7F23"/>
      </left>
      <right style="thick">
        <color rgb="FF5E7F23"/>
      </right>
      <top style="thick">
        <color rgb="FF5E7F23"/>
      </top>
      <bottom/>
      <diagonal/>
    </border>
    <border>
      <left style="thick">
        <color rgb="FF5E7F23"/>
      </left>
      <right style="thick">
        <color rgb="FF5E7F23"/>
      </right>
      <top/>
      <bottom/>
      <diagonal/>
    </border>
    <border>
      <left style="thick">
        <color rgb="FF5E7F23"/>
      </left>
      <right style="thick">
        <color rgb="FF5E7F23"/>
      </right>
      <top/>
      <bottom style="thick">
        <color rgb="FF5E7F23"/>
      </bottom>
      <diagonal/>
    </border>
    <border>
      <left style="thick">
        <color rgb="FF31869B"/>
      </left>
      <right style="thick">
        <color rgb="FF31869B"/>
      </right>
      <top/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1" fillId="0" borderId="0"/>
    <xf numFmtId="0" fontId="3" fillId="0" borderId="0"/>
  </cellStyleXfs>
  <cellXfs count="317">
    <xf numFmtId="0" fontId="0" fillId="0" borderId="0" xfId="0"/>
    <xf numFmtId="1" fontId="0" fillId="0" borderId="0" xfId="0" applyNumberFormat="1"/>
    <xf numFmtId="2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10" fontId="0" fillId="0" borderId="1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10" fontId="0" fillId="0" borderId="0" xfId="0" applyNumberFormat="1" applyBorder="1"/>
    <xf numFmtId="0" fontId="2" fillId="2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right" wrapText="1"/>
    </xf>
    <xf numFmtId="0" fontId="2" fillId="0" borderId="10" xfId="1" applyFont="1" applyFill="1" applyBorder="1" applyAlignment="1">
      <alignment wrapText="1"/>
    </xf>
    <xf numFmtId="0" fontId="4" fillId="0" borderId="10" xfId="1" applyFont="1" applyFill="1" applyBorder="1" applyAlignment="1">
      <alignment horizontal="right" wrapText="1"/>
    </xf>
    <xf numFmtId="1" fontId="1" fillId="0" borderId="0" xfId="0" applyNumberFormat="1" applyFont="1"/>
    <xf numFmtId="164" fontId="0" fillId="0" borderId="11" xfId="0" applyNumberFormat="1" applyBorder="1"/>
    <xf numFmtId="164" fontId="0" fillId="0" borderId="13" xfId="0" applyNumberFormat="1" applyBorder="1"/>
    <xf numFmtId="164" fontId="0" fillId="0" borderId="12" xfId="0" applyNumberFormat="1" applyBorder="1"/>
    <xf numFmtId="0" fontId="2" fillId="0" borderId="14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0" fontId="6" fillId="0" borderId="0" xfId="0" applyFont="1"/>
    <xf numFmtId="0" fontId="0" fillId="0" borderId="0" xfId="0" quotePrefix="1"/>
    <xf numFmtId="0" fontId="0" fillId="3" borderId="0" xfId="0" applyFill="1"/>
    <xf numFmtId="1" fontId="0" fillId="3" borderId="0" xfId="0" applyNumberFormat="1" applyFill="1"/>
    <xf numFmtId="0" fontId="0" fillId="3" borderId="0" xfId="0" applyFill="1" applyAlignment="1">
      <alignment horizontal="right"/>
    </xf>
    <xf numFmtId="164" fontId="0" fillId="3" borderId="0" xfId="0" applyNumberFormat="1" applyFill="1"/>
    <xf numFmtId="1" fontId="0" fillId="3" borderId="0" xfId="0" quotePrefix="1" applyNumberFormat="1" applyFill="1" applyAlignment="1">
      <alignment horizontal="right"/>
    </xf>
    <xf numFmtId="0" fontId="0" fillId="3" borderId="15" xfId="0" applyFill="1" applyBorder="1"/>
    <xf numFmtId="0" fontId="0" fillId="3" borderId="16" xfId="0" applyFill="1" applyBorder="1" applyAlignment="1">
      <alignment horizontal="right"/>
    </xf>
    <xf numFmtId="0" fontId="0" fillId="3" borderId="16" xfId="0" applyFill="1" applyBorder="1"/>
    <xf numFmtId="0" fontId="0" fillId="3" borderId="17" xfId="0" applyFill="1" applyBorder="1"/>
    <xf numFmtId="164" fontId="0" fillId="0" borderId="0" xfId="0" applyNumberFormat="1" applyFill="1"/>
    <xf numFmtId="2" fontId="0" fillId="3" borderId="16" xfId="0" applyNumberFormat="1" applyFill="1" applyBorder="1"/>
    <xf numFmtId="0" fontId="7" fillId="0" borderId="10" xfId="1" applyFont="1" applyFill="1" applyBorder="1" applyAlignment="1">
      <alignment wrapText="1"/>
    </xf>
    <xf numFmtId="0" fontId="8" fillId="0" borderId="0" xfId="0" applyFont="1"/>
    <xf numFmtId="164" fontId="8" fillId="0" borderId="0" xfId="0" applyNumberFormat="1" applyFont="1"/>
    <xf numFmtId="1" fontId="8" fillId="0" borderId="0" xfId="0" applyNumberFormat="1" applyFont="1"/>
    <xf numFmtId="0" fontId="2" fillId="2" borderId="9" xfId="2" applyFont="1" applyFill="1" applyBorder="1" applyAlignment="1">
      <alignment horizontal="center"/>
    </xf>
    <xf numFmtId="0" fontId="2" fillId="0" borderId="10" xfId="2" applyFont="1" applyFill="1" applyBorder="1" applyAlignment="1">
      <alignment wrapText="1"/>
    </xf>
    <xf numFmtId="164" fontId="0" fillId="3" borderId="0" xfId="0" applyNumberFormat="1" applyFill="1" applyAlignment="1">
      <alignment horizontal="right"/>
    </xf>
    <xf numFmtId="2" fontId="0" fillId="0" borderId="1" xfId="0" applyNumberFormat="1" applyBorder="1"/>
    <xf numFmtId="165" fontId="0" fillId="3" borderId="0" xfId="0" applyNumberFormat="1" applyFill="1"/>
    <xf numFmtId="165" fontId="0" fillId="0" borderId="0" xfId="0" applyNumberFormat="1"/>
    <xf numFmtId="0" fontId="10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1" fontId="0" fillId="4" borderId="0" xfId="0" applyNumberFormat="1" applyFill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64" fontId="8" fillId="0" borderId="0" xfId="0" applyNumberFormat="1" applyFont="1" applyFill="1"/>
    <xf numFmtId="164" fontId="5" fillId="0" borderId="0" xfId="0" applyNumberFormat="1" applyFont="1" applyFill="1"/>
    <xf numFmtId="166" fontId="0" fillId="0" borderId="0" xfId="0" applyNumberFormat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64" fontId="0" fillId="4" borderId="0" xfId="0" applyNumberFormat="1" applyFill="1"/>
    <xf numFmtId="2" fontId="0" fillId="0" borderId="21" xfId="0" applyNumberFormat="1" applyBorder="1"/>
    <xf numFmtId="0" fontId="0" fillId="0" borderId="5" xfId="0" applyBorder="1" applyAlignment="1">
      <alignment horizontal="right"/>
    </xf>
    <xf numFmtId="0" fontId="0" fillId="0" borderId="2" xfId="0" applyBorder="1"/>
    <xf numFmtId="10" fontId="0" fillId="0" borderId="32" xfId="0" applyNumberFormat="1" applyBorder="1"/>
    <xf numFmtId="10" fontId="0" fillId="0" borderId="33" xfId="0" applyNumberFormat="1" applyBorder="1"/>
    <xf numFmtId="10" fontId="0" fillId="0" borderId="34" xfId="0" applyNumberFormat="1" applyBorder="1"/>
    <xf numFmtId="10" fontId="0" fillId="0" borderId="35" xfId="0" applyNumberFormat="1" applyBorder="1"/>
    <xf numFmtId="10" fontId="0" fillId="0" borderId="36" xfId="0" applyNumberFormat="1" applyBorder="1"/>
    <xf numFmtId="10" fontId="0" fillId="0" borderId="37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7" xfId="0" applyNumberFormat="1" applyBorder="1"/>
    <xf numFmtId="10" fontId="0" fillId="0" borderId="0" xfId="0" applyNumberFormat="1" applyFill="1" applyBorder="1"/>
    <xf numFmtId="10" fontId="0" fillId="0" borderId="40" xfId="0" applyNumberFormat="1" applyBorder="1"/>
    <xf numFmtId="10" fontId="0" fillId="0" borderId="41" xfId="0" applyNumberFormat="1" applyBorder="1"/>
    <xf numFmtId="10" fontId="0" fillId="0" borderId="42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Font="1" applyBorder="1"/>
    <xf numFmtId="0" fontId="1" fillId="0" borderId="0" xfId="0" applyFont="1" applyFill="1"/>
    <xf numFmtId="0" fontId="1" fillId="3" borderId="0" xfId="0" applyFont="1" applyFill="1"/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" fontId="0" fillId="0" borderId="46" xfId="0" applyNumberFormat="1" applyBorder="1"/>
    <xf numFmtId="0" fontId="0" fillId="0" borderId="47" xfId="0" applyBorder="1"/>
    <xf numFmtId="0" fontId="0" fillId="0" borderId="48" xfId="0" applyBorder="1"/>
    <xf numFmtId="0" fontId="2" fillId="0" borderId="49" xfId="1" applyFont="1" applyFill="1" applyBorder="1" applyAlignment="1">
      <alignment wrapText="1"/>
    </xf>
    <xf numFmtId="0" fontId="2" fillId="0" borderId="50" xfId="1" applyFont="1" applyFill="1" applyBorder="1" applyAlignment="1">
      <alignment wrapText="1"/>
    </xf>
    <xf numFmtId="0" fontId="2" fillId="2" borderId="51" xfId="1" applyFont="1" applyFill="1" applyBorder="1" applyAlignment="1">
      <alignment horizontal="center"/>
    </xf>
    <xf numFmtId="0" fontId="4" fillId="0" borderId="52" xfId="1" applyFont="1" applyFill="1" applyBorder="1" applyAlignment="1">
      <alignment horizontal="right" wrapText="1"/>
    </xf>
    <xf numFmtId="0" fontId="2" fillId="0" borderId="53" xfId="1" applyFont="1" applyFill="1" applyBorder="1" applyAlignment="1">
      <alignment horizontal="right" wrapText="1"/>
    </xf>
    <xf numFmtId="0" fontId="2" fillId="0" borderId="54" xfId="1" applyFont="1" applyFill="1" applyBorder="1" applyAlignment="1">
      <alignment horizontal="right" wrapText="1"/>
    </xf>
    <xf numFmtId="0" fontId="2" fillId="0" borderId="55" xfId="1" applyFont="1" applyFill="1" applyBorder="1" applyAlignment="1">
      <alignment horizontal="right" wrapText="1"/>
    </xf>
    <xf numFmtId="164" fontId="0" fillId="0" borderId="63" xfId="0" applyNumberFormat="1" applyBorder="1"/>
    <xf numFmtId="164" fontId="0" fillId="0" borderId="56" xfId="0" applyNumberFormat="1" applyFill="1" applyBorder="1"/>
    <xf numFmtId="164" fontId="0" fillId="0" borderId="57" xfId="0" applyNumberFormat="1" applyFill="1" applyBorder="1"/>
    <xf numFmtId="164" fontId="0" fillId="0" borderId="58" xfId="0" applyNumberFormat="1" applyFill="1" applyBorder="1"/>
    <xf numFmtId="164" fontId="0" fillId="0" borderId="64" xfId="0" applyNumberFormat="1" applyBorder="1"/>
    <xf numFmtId="164" fontId="0" fillId="0" borderId="22" xfId="0" applyNumberFormat="1" applyFill="1" applyBorder="1"/>
    <xf numFmtId="164" fontId="0" fillId="0" borderId="0" xfId="0" applyNumberFormat="1" applyFill="1" applyBorder="1"/>
    <xf numFmtId="164" fontId="0" fillId="0" borderId="59" xfId="0" applyNumberFormat="1" applyFill="1" applyBorder="1"/>
    <xf numFmtId="164" fontId="0" fillId="0" borderId="65" xfId="0" applyNumberFormat="1" applyBorder="1"/>
    <xf numFmtId="164" fontId="0" fillId="0" borderId="60" xfId="0" applyNumberFormat="1" applyFill="1" applyBorder="1"/>
    <xf numFmtId="164" fontId="0" fillId="0" borderId="61" xfId="0" applyNumberFormat="1" applyFill="1" applyBorder="1"/>
    <xf numFmtId="164" fontId="0" fillId="0" borderId="62" xfId="0" applyNumberFormat="1" applyFill="1" applyBorder="1"/>
    <xf numFmtId="0" fontId="2" fillId="0" borderId="52" xfId="1" applyFont="1" applyFill="1" applyBorder="1" applyAlignment="1">
      <alignment horizontal="right" wrapText="1"/>
    </xf>
    <xf numFmtId="0" fontId="2" fillId="0" borderId="70" xfId="1" applyFont="1" applyFill="1" applyBorder="1" applyAlignment="1">
      <alignment horizontal="right" wrapText="1"/>
    </xf>
    <xf numFmtId="0" fontId="2" fillId="0" borderId="71" xfId="1" applyFont="1" applyFill="1" applyBorder="1" applyAlignment="1">
      <alignment horizontal="right" wrapText="1"/>
    </xf>
    <xf numFmtId="0" fontId="2" fillId="0" borderId="72" xfId="1" applyFont="1" applyFill="1" applyBorder="1" applyAlignment="1">
      <alignment horizontal="right" wrapText="1"/>
    </xf>
    <xf numFmtId="0" fontId="4" fillId="0" borderId="73" xfId="1" applyFont="1" applyFill="1" applyBorder="1" applyAlignment="1">
      <alignment horizontal="right" wrapText="1"/>
    </xf>
    <xf numFmtId="2" fontId="0" fillId="0" borderId="56" xfId="0" applyNumberFormat="1" applyBorder="1"/>
    <xf numFmtId="2" fontId="0" fillId="0" borderId="22" xfId="0" applyNumberFormat="1" applyBorder="1"/>
    <xf numFmtId="2" fontId="0" fillId="0" borderId="60" xfId="0" applyNumberFormat="1" applyBorder="1"/>
    <xf numFmtId="164" fontId="0" fillId="3" borderId="17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2" xfId="0" applyNumberForma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0" fontId="0" fillId="0" borderId="0" xfId="0" applyFill="1" applyBorder="1"/>
    <xf numFmtId="164" fontId="0" fillId="0" borderId="63" xfId="0" applyNumberFormat="1" applyFill="1" applyBorder="1"/>
    <xf numFmtId="164" fontId="0" fillId="0" borderId="64" xfId="0" applyNumberFormat="1" applyFill="1" applyBorder="1"/>
    <xf numFmtId="164" fontId="0" fillId="0" borderId="65" xfId="0" applyNumberFormat="1" applyFill="1" applyBorder="1"/>
    <xf numFmtId="0" fontId="0" fillId="0" borderId="22" xfId="0" applyFill="1" applyBorder="1"/>
    <xf numFmtId="164" fontId="0" fillId="0" borderId="0" xfId="0" applyNumberFormat="1" applyBorder="1"/>
    <xf numFmtId="164" fontId="0" fillId="0" borderId="11" xfId="0" applyNumberFormat="1" applyFont="1" applyFill="1" applyBorder="1"/>
    <xf numFmtId="164" fontId="0" fillId="0" borderId="13" xfId="0" applyNumberFormat="1" applyFont="1" applyFill="1" applyBorder="1"/>
    <xf numFmtId="164" fontId="0" fillId="0" borderId="12" xfId="0" applyNumberFormat="1" applyFont="1" applyFill="1" applyBorder="1"/>
    <xf numFmtId="164" fontId="5" fillId="0" borderId="74" xfId="0" applyNumberFormat="1" applyFont="1" applyFill="1" applyBorder="1"/>
    <xf numFmtId="10" fontId="0" fillId="0" borderId="75" xfId="0" applyNumberFormat="1" applyBorder="1"/>
    <xf numFmtId="0" fontId="0" fillId="0" borderId="76" xfId="0" applyBorder="1"/>
    <xf numFmtId="164" fontId="5" fillId="0" borderId="77" xfId="0" applyNumberFormat="1" applyFont="1" applyFill="1" applyBorder="1"/>
    <xf numFmtId="0" fontId="0" fillId="0" borderId="78" xfId="0" applyBorder="1"/>
    <xf numFmtId="164" fontId="5" fillId="0" borderId="79" xfId="0" applyNumberFormat="1" applyFont="1" applyFill="1" applyBorder="1"/>
    <xf numFmtId="10" fontId="0" fillId="0" borderId="80" xfId="0" applyNumberFormat="1" applyBorder="1"/>
    <xf numFmtId="0" fontId="0" fillId="0" borderId="81" xfId="0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4" xfId="0" applyNumberFormat="1" applyFont="1" applyFill="1" applyBorder="1"/>
    <xf numFmtId="164" fontId="0" fillId="0" borderId="21" xfId="0" applyNumberFormat="1" applyFill="1" applyBorder="1"/>
    <xf numFmtId="2" fontId="0" fillId="0" borderId="58" xfId="0" applyNumberFormat="1" applyFill="1" applyBorder="1"/>
    <xf numFmtId="2" fontId="0" fillId="0" borderId="59" xfId="0" applyNumberFormat="1" applyFill="1" applyBorder="1"/>
    <xf numFmtId="2" fontId="0" fillId="0" borderId="62" xfId="0" applyNumberFormat="1" applyFill="1" applyBorder="1"/>
    <xf numFmtId="2" fontId="0" fillId="0" borderId="63" xfId="0" applyNumberFormat="1" applyFill="1" applyBorder="1"/>
    <xf numFmtId="2" fontId="0" fillId="0" borderId="64" xfId="0" applyNumberFormat="1" applyFill="1" applyBorder="1"/>
    <xf numFmtId="2" fontId="0" fillId="0" borderId="65" xfId="0" applyNumberFormat="1" applyFill="1" applyBorder="1"/>
    <xf numFmtId="2" fontId="0" fillId="0" borderId="56" xfId="0" applyNumberFormat="1" applyFill="1" applyBorder="1"/>
    <xf numFmtId="2" fontId="0" fillId="0" borderId="22" xfId="0" applyNumberFormat="1" applyFill="1" applyBorder="1"/>
    <xf numFmtId="2" fontId="0" fillId="0" borderId="60" xfId="0" applyNumberFormat="1" applyFill="1" applyBorder="1"/>
    <xf numFmtId="2" fontId="0" fillId="0" borderId="57" xfId="0" applyNumberFormat="1" applyBorder="1"/>
    <xf numFmtId="2" fontId="0" fillId="0" borderId="58" xfId="0" applyNumberFormat="1" applyBorder="1"/>
    <xf numFmtId="2" fontId="0" fillId="0" borderId="0" xfId="0" applyNumberFormat="1" applyBorder="1"/>
    <xf numFmtId="2" fontId="0" fillId="0" borderId="59" xfId="0" applyNumberFormat="1" applyBorder="1"/>
    <xf numFmtId="2" fontId="0" fillId="0" borderId="61" xfId="0" applyNumberFormat="1" applyBorder="1"/>
    <xf numFmtId="2" fontId="0" fillId="0" borderId="62" xfId="0" applyNumberFormat="1" applyBorder="1"/>
    <xf numFmtId="2" fontId="0" fillId="0" borderId="63" xfId="0" applyNumberFormat="1" applyBorder="1"/>
    <xf numFmtId="2" fontId="0" fillId="0" borderId="65" xfId="0" applyNumberFormat="1" applyBorder="1"/>
    <xf numFmtId="2" fontId="0" fillId="0" borderId="0" xfId="0" applyNumberFormat="1" applyFill="1" applyBorder="1"/>
    <xf numFmtId="1" fontId="0" fillId="0" borderId="0" xfId="0" applyNumberFormat="1" applyFill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4" xfId="0" applyNumberFormat="1" applyFill="1" applyBorder="1"/>
    <xf numFmtId="164" fontId="0" fillId="0" borderId="84" xfId="0" applyNumberFormat="1" applyBorder="1"/>
    <xf numFmtId="1" fontId="0" fillId="0" borderId="29" xfId="0" applyNumberFormat="1" applyBorder="1"/>
    <xf numFmtId="164" fontId="0" fillId="0" borderId="85" xfId="0" applyNumberFormat="1" applyBorder="1"/>
    <xf numFmtId="0" fontId="0" fillId="0" borderId="30" xfId="0" applyBorder="1"/>
    <xf numFmtId="1" fontId="0" fillId="0" borderId="31" xfId="0" applyNumberFormat="1" applyBorder="1"/>
    <xf numFmtId="0" fontId="0" fillId="0" borderId="84" xfId="0" applyBorder="1"/>
    <xf numFmtId="0" fontId="0" fillId="0" borderId="29" xfId="0" applyBorder="1"/>
    <xf numFmtId="0" fontId="0" fillId="0" borderId="85" xfId="0" applyBorder="1"/>
    <xf numFmtId="0" fontId="0" fillId="0" borderId="31" xfId="0" applyBorder="1"/>
    <xf numFmtId="0" fontId="0" fillId="0" borderId="84" xfId="0" applyFill="1" applyBorder="1"/>
    <xf numFmtId="0" fontId="0" fillId="0" borderId="29" xfId="0" applyFill="1" applyBorder="1"/>
    <xf numFmtId="2" fontId="0" fillId="0" borderId="84" xfId="0" applyNumberFormat="1" applyBorder="1"/>
    <xf numFmtId="2" fontId="0" fillId="3" borderId="0" xfId="0" applyNumberFormat="1" applyFill="1"/>
    <xf numFmtId="164" fontId="5" fillId="0" borderId="0" xfId="0" applyNumberFormat="1" applyFont="1"/>
    <xf numFmtId="0" fontId="12" fillId="0" borderId="0" xfId="0" applyFont="1"/>
    <xf numFmtId="0" fontId="0" fillId="0" borderId="83" xfId="0" applyBorder="1"/>
    <xf numFmtId="0" fontId="0" fillId="0" borderId="8" xfId="0" applyBorder="1"/>
    <xf numFmtId="0" fontId="0" fillId="0" borderId="82" xfId="0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1" fontId="0" fillId="0" borderId="0" xfId="0" applyNumberFormat="1" applyAlignment="1">
      <alignment horizontal="center"/>
    </xf>
    <xf numFmtId="164" fontId="0" fillId="0" borderId="3" xfId="0" applyNumberFormat="1" applyBorder="1"/>
    <xf numFmtId="164" fontId="8" fillId="0" borderId="3" xfId="0" applyNumberFormat="1" applyFont="1" applyBorder="1"/>
    <xf numFmtId="164" fontId="12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13" fillId="0" borderId="3" xfId="0" applyNumberFormat="1" applyFont="1" applyBorder="1"/>
    <xf numFmtId="164" fontId="13" fillId="0" borderId="0" xfId="0" applyNumberFormat="1" applyFont="1" applyFill="1"/>
    <xf numFmtId="164" fontId="7" fillId="0" borderId="10" xfId="1" applyNumberFormat="1" applyFont="1" applyFill="1" applyBorder="1" applyAlignment="1">
      <alignment wrapText="1"/>
    </xf>
    <xf numFmtId="2" fontId="8" fillId="0" borderId="0" xfId="0" applyNumberFormat="1" applyFont="1"/>
    <xf numFmtId="164" fontId="0" fillId="0" borderId="83" xfId="0" applyNumberFormat="1" applyBorder="1"/>
    <xf numFmtId="9" fontId="0" fillId="0" borderId="0" xfId="0" applyNumberFormat="1"/>
    <xf numFmtId="4" fontId="0" fillId="0" borderId="0" xfId="0" applyNumberFormat="1" applyBorder="1"/>
    <xf numFmtId="167" fontId="0" fillId="0" borderId="0" xfId="0" applyNumberFormat="1"/>
    <xf numFmtId="4" fontId="0" fillId="0" borderId="5" xfId="0" applyNumberFormat="1" applyBorder="1"/>
    <xf numFmtId="0" fontId="0" fillId="0" borderId="7" xfId="0" applyBorder="1"/>
    <xf numFmtId="0" fontId="2" fillId="0" borderId="49" xfId="2" applyFont="1" applyFill="1" applyBorder="1" applyAlignment="1">
      <alignment wrapText="1"/>
    </xf>
    <xf numFmtId="0" fontId="2" fillId="2" borderId="51" xfId="2" applyFont="1" applyFill="1" applyBorder="1" applyAlignment="1">
      <alignment horizontal="center"/>
    </xf>
    <xf numFmtId="0" fontId="2" fillId="0" borderId="86" xfId="2" applyFont="1" applyFill="1" applyBorder="1" applyAlignment="1">
      <alignment horizontal="right" wrapText="1"/>
    </xf>
    <xf numFmtId="0" fontId="2" fillId="0" borderId="87" xfId="2" applyFont="1" applyFill="1" applyBorder="1" applyAlignment="1">
      <alignment horizontal="right" wrapText="1"/>
    </xf>
    <xf numFmtId="0" fontId="2" fillId="0" borderId="88" xfId="2" applyFont="1" applyFill="1" applyBorder="1" applyAlignment="1">
      <alignment horizontal="right" wrapText="1"/>
    </xf>
    <xf numFmtId="2" fontId="0" fillId="0" borderId="64" xfId="0" applyNumberFormat="1" applyBorder="1"/>
    <xf numFmtId="0" fontId="0" fillId="0" borderId="56" xfId="0" applyBorder="1"/>
    <xf numFmtId="0" fontId="0" fillId="0" borderId="22" xfId="0" applyBorder="1"/>
    <xf numFmtId="0" fontId="0" fillId="0" borderId="60" xfId="0" applyBorder="1"/>
    <xf numFmtId="0" fontId="0" fillId="0" borderId="30" xfId="0" applyBorder="1" applyAlignment="1">
      <alignment horizontal="right"/>
    </xf>
    <xf numFmtId="168" fontId="0" fillId="3" borderId="0" xfId="0" applyNumberFormat="1" applyFill="1"/>
    <xf numFmtId="169" fontId="0" fillId="0" borderId="0" xfId="0" applyNumberFormat="1"/>
    <xf numFmtId="164" fontId="8" fillId="0" borderId="0" xfId="0" applyNumberFormat="1" applyFont="1" applyBorder="1"/>
    <xf numFmtId="0" fontId="0" fillId="0" borderId="3" xfId="0" applyBorder="1"/>
    <xf numFmtId="0" fontId="0" fillId="0" borderId="4" xfId="0" applyBorder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0" fillId="0" borderId="83" xfId="0" applyNumberFormat="1" applyBorder="1"/>
    <xf numFmtId="2" fontId="0" fillId="0" borderId="8" xfId="0" applyNumberFormat="1" applyBorder="1"/>
    <xf numFmtId="2" fontId="0" fillId="0" borderId="82" xfId="0" applyNumberFormat="1" applyBorder="1"/>
    <xf numFmtId="2" fontId="0" fillId="0" borderId="29" xfId="0" applyNumberFormat="1" applyBorder="1"/>
    <xf numFmtId="2" fontId="0" fillId="0" borderId="85" xfId="0" applyNumberFormat="1" applyBorder="1"/>
    <xf numFmtId="2" fontId="0" fillId="0" borderId="30" xfId="0" applyNumberFormat="1" applyBorder="1"/>
    <xf numFmtId="2" fontId="0" fillId="0" borderId="31" xfId="0" applyNumberFormat="1" applyBorder="1"/>
    <xf numFmtId="1" fontId="0" fillId="0" borderId="0" xfId="0" applyNumberFormat="1" applyFill="1" applyAlignment="1">
      <alignment horizontal="right"/>
    </xf>
    <xf numFmtId="3" fontId="0" fillId="0" borderId="0" xfId="0" applyNumberFormat="1"/>
    <xf numFmtId="0" fontId="0" fillId="0" borderId="64" xfId="0" applyBorder="1"/>
    <xf numFmtId="3" fontId="0" fillId="0" borderId="64" xfId="0" applyNumberFormat="1" applyBorder="1"/>
    <xf numFmtId="3" fontId="0" fillId="0" borderId="65" xfId="0" applyNumberFormat="1" applyBorder="1"/>
    <xf numFmtId="164" fontId="8" fillId="0" borderId="64" xfId="0" applyNumberFormat="1" applyFont="1" applyBorder="1"/>
    <xf numFmtId="164" fontId="5" fillId="0" borderId="64" xfId="0" applyNumberFormat="1" applyFont="1" applyFill="1" applyBorder="1"/>
    <xf numFmtId="2" fontId="8" fillId="0" borderId="64" xfId="0" applyNumberFormat="1" applyFont="1" applyBorder="1"/>
    <xf numFmtId="4" fontId="0" fillId="0" borderId="1" xfId="0" applyNumberFormat="1" applyBorder="1"/>
    <xf numFmtId="0" fontId="2" fillId="2" borderId="9" xfId="4" applyFont="1" applyFill="1" applyBorder="1" applyAlignment="1">
      <alignment horizontal="center"/>
    </xf>
    <xf numFmtId="0" fontId="2" fillId="0" borderId="10" xfId="4" applyFont="1" applyFill="1" applyBorder="1" applyAlignment="1">
      <alignment wrapText="1"/>
    </xf>
    <xf numFmtId="0" fontId="2" fillId="0" borderId="14" xfId="4" applyFont="1" applyFill="1" applyBorder="1" applyAlignment="1">
      <alignment wrapText="1"/>
    </xf>
    <xf numFmtId="10" fontId="0" fillId="0" borderId="0" xfId="0" applyNumberFormat="1" applyBorder="1" applyAlignment="1"/>
    <xf numFmtId="3" fontId="0" fillId="0" borderId="0" xfId="0" applyNumberFormat="1" applyBorder="1"/>
    <xf numFmtId="10" fontId="0" fillId="0" borderId="0" xfId="0" applyNumberFormat="1" applyBorder="1" applyAlignment="1">
      <alignment horizontal="right"/>
    </xf>
    <xf numFmtId="2" fontId="0" fillId="0" borderId="5" xfId="0" applyNumberFormat="1" applyBorder="1"/>
    <xf numFmtId="2" fontId="0" fillId="0" borderId="7" xfId="0" applyNumberFormat="1" applyBorder="1"/>
    <xf numFmtId="0" fontId="2" fillId="0" borderId="49" xfId="4" applyFont="1" applyFill="1" applyBorder="1" applyAlignment="1">
      <alignment wrapText="1"/>
    </xf>
    <xf numFmtId="0" fontId="2" fillId="2" borderId="51" xfId="4" applyFont="1" applyFill="1" applyBorder="1" applyAlignment="1">
      <alignment horizontal="center"/>
    </xf>
    <xf numFmtId="0" fontId="2" fillId="0" borderId="86" xfId="4" applyFont="1" applyFill="1" applyBorder="1" applyAlignment="1">
      <alignment horizontal="right" wrapText="1"/>
    </xf>
    <xf numFmtId="0" fontId="2" fillId="0" borderId="87" xfId="4" applyFont="1" applyFill="1" applyBorder="1" applyAlignment="1">
      <alignment horizontal="right" wrapText="1"/>
    </xf>
    <xf numFmtId="0" fontId="2" fillId="0" borderId="88" xfId="4" applyFont="1" applyFill="1" applyBorder="1" applyAlignment="1">
      <alignment horizontal="right" wrapText="1"/>
    </xf>
    <xf numFmtId="1" fontId="0" fillId="0" borderId="0" xfId="0" applyNumberFormat="1" applyAlignment="1">
      <alignment horizontal="left"/>
    </xf>
    <xf numFmtId="0" fontId="0" fillId="0" borderId="74" xfId="0" applyBorder="1"/>
    <xf numFmtId="0" fontId="0" fillId="0" borderId="77" xfId="0" applyBorder="1"/>
    <xf numFmtId="0" fontId="0" fillId="0" borderId="79" xfId="0" applyBorder="1"/>
    <xf numFmtId="1" fontId="0" fillId="0" borderId="83" xfId="0" applyNumberFormat="1" applyBorder="1"/>
    <xf numFmtId="170" fontId="0" fillId="0" borderId="8" xfId="0" applyNumberFormat="1" applyBorder="1"/>
    <xf numFmtId="1" fontId="0" fillId="0" borderId="84" xfId="0" applyNumberFormat="1" applyBorder="1"/>
    <xf numFmtId="170" fontId="0" fillId="0" borderId="0" xfId="0" applyNumberFormat="1" applyBorder="1"/>
    <xf numFmtId="1" fontId="0" fillId="0" borderId="85" xfId="0" applyNumberFormat="1" applyBorder="1"/>
    <xf numFmtId="170" fontId="0" fillId="0" borderId="30" xfId="0" applyNumberFormat="1" applyBorder="1"/>
    <xf numFmtId="2" fontId="0" fillId="0" borderId="89" xfId="0" applyNumberFormat="1" applyBorder="1"/>
    <xf numFmtId="2" fontId="0" fillId="0" borderId="90" xfId="0" applyNumberFormat="1" applyBorder="1"/>
    <xf numFmtId="2" fontId="0" fillId="0" borderId="91" xfId="0" applyNumberFormat="1" applyBorder="1"/>
    <xf numFmtId="1" fontId="2" fillId="0" borderId="66" xfId="1" applyNumberFormat="1" applyFont="1" applyFill="1" applyBorder="1" applyAlignment="1">
      <alignment horizontal="right" wrapText="1"/>
    </xf>
    <xf numFmtId="1" fontId="2" fillId="0" borderId="67" xfId="1" applyNumberFormat="1" applyFont="1" applyFill="1" applyBorder="1" applyAlignment="1">
      <alignment horizontal="right" wrapText="1"/>
    </xf>
    <xf numFmtId="1" fontId="2" fillId="0" borderId="68" xfId="1" applyNumberFormat="1" applyFont="1" applyFill="1" applyBorder="1" applyAlignment="1">
      <alignment horizontal="right" wrapText="1"/>
    </xf>
    <xf numFmtId="1" fontId="4" fillId="0" borderId="52" xfId="1" applyNumberFormat="1" applyFont="1" applyFill="1" applyBorder="1" applyAlignment="1">
      <alignment horizontal="right" wrapText="1"/>
    </xf>
    <xf numFmtId="1" fontId="4" fillId="0" borderId="10" xfId="1" applyNumberFormat="1" applyFont="1" applyFill="1" applyBorder="1" applyAlignment="1">
      <alignment horizontal="right" wrapText="1"/>
    </xf>
    <xf numFmtId="1" fontId="4" fillId="0" borderId="69" xfId="1" applyNumberFormat="1" applyFont="1" applyFill="1" applyBorder="1" applyAlignment="1">
      <alignment horizontal="right" wrapText="1"/>
    </xf>
    <xf numFmtId="1" fontId="2" fillId="0" borderId="70" xfId="1" applyNumberFormat="1" applyFont="1" applyFill="1" applyBorder="1" applyAlignment="1">
      <alignment horizontal="right" wrapText="1"/>
    </xf>
    <xf numFmtId="1" fontId="2" fillId="0" borderId="71" xfId="1" applyNumberFormat="1" applyFont="1" applyFill="1" applyBorder="1" applyAlignment="1">
      <alignment horizontal="right" wrapText="1"/>
    </xf>
    <xf numFmtId="1" fontId="2" fillId="0" borderId="72" xfId="1" applyNumberFormat="1" applyFont="1" applyFill="1" applyBorder="1" applyAlignment="1">
      <alignment horizontal="right" wrapText="1"/>
    </xf>
    <xf numFmtId="1" fontId="4" fillId="0" borderId="0" xfId="1" applyNumberFormat="1" applyFont="1" applyFill="1" applyBorder="1" applyAlignment="1">
      <alignment horizontal="right" wrapText="1"/>
    </xf>
    <xf numFmtId="1" fontId="4" fillId="0" borderId="73" xfId="1" applyNumberFormat="1" applyFont="1" applyFill="1" applyBorder="1" applyAlignment="1">
      <alignment horizontal="right" wrapText="1"/>
    </xf>
    <xf numFmtId="1" fontId="2" fillId="0" borderId="10" xfId="1" applyNumberFormat="1" applyFont="1" applyFill="1" applyBorder="1" applyAlignment="1">
      <alignment horizontal="right" wrapText="1"/>
    </xf>
    <xf numFmtId="0" fontId="2" fillId="0" borderId="92" xfId="2" applyFont="1" applyFill="1" applyBorder="1" applyAlignment="1">
      <alignment horizontal="right" wrapText="1"/>
    </xf>
    <xf numFmtId="1" fontId="0" fillId="0" borderId="0" xfId="0" applyNumberFormat="1" applyBorder="1" applyAlignment="1">
      <alignment horizontal="right"/>
    </xf>
    <xf numFmtId="1" fontId="0" fillId="0" borderId="30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" fontId="0" fillId="0" borderId="8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82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2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</cellXfs>
  <cellStyles count="5">
    <cellStyle name="Standaard" xfId="0" builtinId="0"/>
    <cellStyle name="Standaard 2" xfId="3"/>
    <cellStyle name="Standaard_Blad19" xfId="4"/>
    <cellStyle name="Standaard_compliance scenario" xfId="1"/>
    <cellStyle name="Standaard_option 4.3 limiting landfill" xfId="2"/>
  </cellStyles>
  <dxfs count="0"/>
  <tableStyles count="0" defaultTableStyle="TableStyleMedium2" defaultPivotStyle="PivotStyleLight16"/>
  <colors>
    <mruColors>
      <color rgb="FF5E7F23"/>
      <color rgb="FF31869B"/>
      <color rgb="FF92DD87"/>
      <color rgb="FFFB00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summary!$B$10</c:f>
              <c:strCache>
                <c:ptCount val="1"/>
                <c:pt idx="0">
                  <c:v>BAU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4"/>
              <c:pt idx="0">
                <c:v>2015</c:v>
              </c:pt>
              <c:pt idx="1">
                <c:v>2020</c:v>
              </c:pt>
              <c:pt idx="2">
                <c:v>2025</c:v>
              </c:pt>
              <c:pt idx="3">
                <c:v>2030</c:v>
              </c:pt>
            </c:numLit>
          </c:cat>
          <c:val>
            <c:numRef>
              <c:f>(summary!$C$10,summary!$D$10,summary!$F$10,summary!$H$10)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104.39804291518402</c:v>
                </c:pt>
                <c:pt idx="2">
                  <c:v>108.52557457766953</c:v>
                </c:pt>
                <c:pt idx="3">
                  <c:v>112.28589028581905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summary!$B$11</c:f>
              <c:strCache>
                <c:ptCount val="1"/>
                <c:pt idx="0">
                  <c:v>option 1 full implementation</c:v>
                </c:pt>
              </c:strCache>
            </c:strRef>
          </c:tx>
          <c:marker>
            <c:symbol val="none"/>
          </c:marker>
          <c:val>
            <c:numRef>
              <c:f>(summary!$C$11,summary!$D$11,summary!$F$11,summary!$H$11)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95.368212890349952</c:v>
                </c:pt>
                <c:pt idx="2">
                  <c:v>99.295190853741985</c:v>
                </c:pt>
                <c:pt idx="3">
                  <c:v>102.92180409582919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summary!$B$12</c:f>
              <c:strCache>
                <c:ptCount val="1"/>
                <c:pt idx="0">
                  <c:v>option 2 single calculation method</c:v>
                </c:pt>
              </c:strCache>
            </c:strRef>
          </c:tx>
          <c:marker>
            <c:symbol val="none"/>
          </c:marker>
          <c:val>
            <c:numRef>
              <c:f>(summary!$C$12,summary!$D$12,summary!$F$12,summary!$H$12)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96.225551806341073</c:v>
                </c:pt>
                <c:pt idx="2">
                  <c:v>100.17157137854588</c:v>
                </c:pt>
                <c:pt idx="3">
                  <c:v>103.81087902650829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summary!$B$13</c:f>
              <c:strCache>
                <c:ptCount val="1"/>
                <c:pt idx="0">
                  <c:v>option 3.1 higher mun waste recycling targets</c:v>
                </c:pt>
              </c:strCache>
            </c:strRef>
          </c:tx>
          <c:marker>
            <c:symbol val="none"/>
          </c:marker>
          <c:val>
            <c:numRef>
              <c:f>(summary!$C$13,summary!$D$13,summary!$F$13,summary!$H$13)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95.368212890349952</c:v>
                </c:pt>
                <c:pt idx="2">
                  <c:v>94.686175578185242</c:v>
                </c:pt>
                <c:pt idx="3">
                  <c:v>92.596086549277899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summary!$B$14</c:f>
              <c:strCache>
                <c:ptCount val="1"/>
                <c:pt idx="0">
                  <c:v>option 3.2 higher packaging waste recycling targets</c:v>
                </c:pt>
              </c:strCache>
            </c:strRef>
          </c:tx>
          <c:marker>
            <c:symbol val="none"/>
          </c:marker>
          <c:val>
            <c:numRef>
              <c:f>(summary!$C$14,summary!$D$14,summary!$F$14,summary!$H$14)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83.737428782511259</c:v>
                </c:pt>
                <c:pt idx="2">
                  <c:v>79.067150232159534</c:v>
                </c:pt>
                <c:pt idx="3">
                  <c:v>81.589193098203779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summary!$B$15</c:f>
              <c:strCache>
                <c:ptCount val="1"/>
                <c:pt idx="0">
                  <c:v>option 3.3 landfill ban</c:v>
                </c:pt>
              </c:strCache>
            </c:strRef>
          </c:tx>
          <c:marker>
            <c:symbol val="none"/>
          </c:marker>
          <c:val>
            <c:numRef>
              <c:f>(summary!$C$15,summary!$D$15,summary!$F$15,summary!$H$15)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96.223745436245295</c:v>
                </c:pt>
                <c:pt idx="2">
                  <c:v>99.37537084952065</c:v>
                </c:pt>
                <c:pt idx="3">
                  <c:v>102.49956758862648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summary!$B$16</c:f>
              <c:strCache>
                <c:ptCount val="1"/>
                <c:pt idx="0">
                  <c:v>option 3.4 combination</c:v>
                </c:pt>
              </c:strCache>
            </c:strRef>
          </c:tx>
          <c:marker>
            <c:symbol val="none"/>
          </c:marker>
          <c:val>
            <c:numRef>
              <c:f>(summary!$C$16,summary!$D$16,summary!$F$16,summary!$H$16)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83.093244171437988</c:v>
                </c:pt>
                <c:pt idx="2">
                  <c:v>75.704801487487558</c:v>
                </c:pt>
                <c:pt idx="3">
                  <c:v>74.583093557984924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summary!$B$17</c:f>
              <c:strCache>
                <c:ptCount val="1"/>
                <c:pt idx="0">
                  <c:v>scenario maximum feasible</c:v>
                </c:pt>
              </c:strCache>
            </c:strRef>
          </c:tx>
          <c:marker>
            <c:symbol val="none"/>
          </c:marker>
          <c:val>
            <c:numRef>
              <c:f>(summary!$C$17,summary!$D$17,summary!$F$17,summary!$H$17)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63.886527856333863</c:v>
                </c:pt>
                <c:pt idx="2">
                  <c:v>64.28321138978464</c:v>
                </c:pt>
                <c:pt idx="3">
                  <c:v>64.553607415674364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summary!$B$18</c:f>
              <c:strCache>
                <c:ptCount val="1"/>
                <c:pt idx="0">
                  <c:v>scenario plastics only</c:v>
                </c:pt>
              </c:strCache>
            </c:strRef>
          </c:tx>
          <c:spPr>
            <a:ln cmpd="dbl"/>
          </c:spPr>
          <c:marker>
            <c:symbol val="none"/>
          </c:marker>
          <c:val>
            <c:numRef>
              <c:f>(summary!$C$18,summary!$D$18,summary!$F$18,summary!$H$18)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87.799796599230334</c:v>
                </c:pt>
                <c:pt idx="2">
                  <c:v>82.732507961123261</c:v>
                </c:pt>
                <c:pt idx="3">
                  <c:v>86.965652087479825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10304"/>
        <c:axId val="189011840"/>
      </c:lineChart>
      <c:catAx>
        <c:axId val="1890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011840"/>
        <c:crosses val="autoZero"/>
        <c:auto val="1"/>
        <c:lblAlgn val="ctr"/>
        <c:lblOffset val="100"/>
        <c:noMultiLvlLbl val="0"/>
      </c:catAx>
      <c:valAx>
        <c:axId val="189011840"/>
        <c:scaling>
          <c:orientation val="minMax"/>
          <c:max val="120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1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85695936944047"/>
          <c:y val="6.7514765194808563E-2"/>
          <c:w val="0.29798498591931327"/>
          <c:h val="0.932485234805191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19</xdr:row>
      <xdr:rowOff>47625</xdr:rowOff>
    </xdr:from>
    <xdr:to>
      <xdr:col>8</xdr:col>
      <xdr:colOff>1009650</xdr:colOff>
      <xdr:row>41</xdr:row>
      <xdr:rowOff>28574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K1" sqref="K1"/>
    </sheetView>
  </sheetViews>
  <sheetFormatPr defaultRowHeight="12.75" x14ac:dyDescent="0.2"/>
  <cols>
    <col min="2" max="2" width="44.5703125" bestFit="1" customWidth="1"/>
    <col min="3" max="3" width="11.7109375" customWidth="1"/>
    <col min="4" max="9" width="15.7109375" customWidth="1"/>
  </cols>
  <sheetData>
    <row r="2" spans="2:9" ht="13.5" thickBot="1" x14ac:dyDescent="0.25"/>
    <row r="3" spans="2:9" ht="14.25" thickTop="1" thickBot="1" x14ac:dyDescent="0.25">
      <c r="B3" t="s">
        <v>270</v>
      </c>
      <c r="E3" s="292" t="s">
        <v>164</v>
      </c>
      <c r="F3" s="293"/>
      <c r="G3" s="294"/>
    </row>
    <row r="4" spans="2:9" ht="14.25" thickTop="1" thickBot="1" x14ac:dyDescent="0.25">
      <c r="B4" s="46"/>
      <c r="C4" s="47"/>
      <c r="D4" s="48"/>
    </row>
    <row r="5" spans="2:9" ht="14.25" thickTop="1" thickBot="1" x14ac:dyDescent="0.25">
      <c r="B5" s="47"/>
      <c r="C5" s="47"/>
      <c r="D5" s="47"/>
      <c r="E5" s="295" t="s">
        <v>165</v>
      </c>
      <c r="F5" s="296"/>
      <c r="G5" s="297"/>
    </row>
    <row r="6" spans="2:9" ht="13.5" thickTop="1" x14ac:dyDescent="0.2">
      <c r="B6" s="46"/>
      <c r="C6" s="47"/>
      <c r="D6" s="48"/>
    </row>
    <row r="7" spans="2:9" x14ac:dyDescent="0.2">
      <c r="B7" t="s">
        <v>152</v>
      </c>
    </row>
    <row r="8" spans="2:9" x14ac:dyDescent="0.2">
      <c r="B8" s="6"/>
      <c r="C8" s="6"/>
      <c r="D8" s="289" t="s">
        <v>156</v>
      </c>
      <c r="E8" s="290"/>
      <c r="F8" s="289" t="s">
        <v>162</v>
      </c>
      <c r="G8" s="290"/>
      <c r="H8" s="289" t="s">
        <v>163</v>
      </c>
      <c r="I8" s="291"/>
    </row>
    <row r="9" spans="2:9" x14ac:dyDescent="0.2">
      <c r="B9" s="6"/>
      <c r="C9" s="6" t="s">
        <v>153</v>
      </c>
      <c r="D9" s="6" t="s">
        <v>154</v>
      </c>
      <c r="E9" s="6" t="s">
        <v>159</v>
      </c>
      <c r="F9" s="6" t="s">
        <v>160</v>
      </c>
      <c r="G9" s="6" t="s">
        <v>159</v>
      </c>
      <c r="H9" s="6" t="s">
        <v>161</v>
      </c>
      <c r="I9" s="6" t="s">
        <v>159</v>
      </c>
    </row>
    <row r="10" spans="2:9" x14ac:dyDescent="0.2">
      <c r="B10" s="6" t="s">
        <v>175</v>
      </c>
      <c r="C10" s="6">
        <f>'baseline BAU'!O4</f>
        <v>100</v>
      </c>
      <c r="D10" s="147">
        <f>'baseline BAU'!P7</f>
        <v>104.39804291518402</v>
      </c>
      <c r="E10" s="43">
        <f>D10-C10</f>
        <v>4.3980429151840212</v>
      </c>
      <c r="F10" s="147">
        <f>'baseline BAU'!Q7</f>
        <v>108.52557457766953</v>
      </c>
      <c r="G10" s="43">
        <f>F10-C10</f>
        <v>8.5255745776695306</v>
      </c>
      <c r="H10" s="147">
        <f>'baseline BAU'!R7</f>
        <v>112.28589028581905</v>
      </c>
      <c r="I10" s="43">
        <f>H10-C10</f>
        <v>12.28589028581905</v>
      </c>
    </row>
    <row r="11" spans="2:9" x14ac:dyDescent="0.2">
      <c r="B11" s="6" t="s">
        <v>176</v>
      </c>
      <c r="C11" s="6">
        <v>100</v>
      </c>
      <c r="D11" s="147">
        <f>'option 1 full implementation'!W49</f>
        <v>95.368212890349952</v>
      </c>
      <c r="E11" s="43">
        <f t="shared" ref="E11:E18" si="0">D11-C11</f>
        <v>-4.6317871096500483</v>
      </c>
      <c r="F11" s="147">
        <f>'option 1 full implementation'!AG49</f>
        <v>99.295190853741985</v>
      </c>
      <c r="G11" s="43">
        <f t="shared" ref="G11:G18" si="1">F11-C11</f>
        <v>-0.70480914625801461</v>
      </c>
      <c r="H11" s="147">
        <f>'option 1 full implementation'!AQ49</f>
        <v>102.92180409582919</v>
      </c>
      <c r="I11" s="43">
        <f t="shared" ref="I11:I18" si="2">H11-C11</f>
        <v>2.921804095829188</v>
      </c>
    </row>
    <row r="12" spans="2:9" x14ac:dyDescent="0.2">
      <c r="B12" s="6" t="s">
        <v>177</v>
      </c>
      <c r="C12" s="6">
        <v>100</v>
      </c>
      <c r="D12" s="147">
        <f>'option 2 single calculation met'!W49</f>
        <v>96.225551806341073</v>
      </c>
      <c r="E12" s="43">
        <f>D12-C12</f>
        <v>-3.7744481936589267</v>
      </c>
      <c r="F12" s="147">
        <f>'option 2 single calculation met'!AG49</f>
        <v>100.17157137854588</v>
      </c>
      <c r="G12" s="43">
        <f t="shared" si="1"/>
        <v>0.17157137854587745</v>
      </c>
      <c r="H12" s="147">
        <f>'option 2 single calculation met'!AQ49</f>
        <v>103.81087902650829</v>
      </c>
      <c r="I12" s="43">
        <f t="shared" si="2"/>
        <v>3.8108790265082888</v>
      </c>
    </row>
    <row r="13" spans="2:9" x14ac:dyDescent="0.2">
      <c r="B13" s="6" t="s">
        <v>178</v>
      </c>
      <c r="C13" s="6">
        <v>100</v>
      </c>
      <c r="D13" s="147">
        <f>'option 3.1 higher MSW recycling'!Z49</f>
        <v>95.368212890349952</v>
      </c>
      <c r="E13" s="43">
        <f t="shared" si="0"/>
        <v>-4.6317871096500483</v>
      </c>
      <c r="F13" s="147">
        <f>'option 3.1 higher MSW recycling'!AJ49</f>
        <v>94.686175578185242</v>
      </c>
      <c r="G13" s="43">
        <f t="shared" si="1"/>
        <v>-5.3138244218147577</v>
      </c>
      <c r="H13" s="147">
        <f>'option 3.1 higher MSW recycling'!AT49</f>
        <v>92.596086549277899</v>
      </c>
      <c r="I13" s="43">
        <f t="shared" si="2"/>
        <v>-7.4039134507221007</v>
      </c>
    </row>
    <row r="14" spans="2:9" x14ac:dyDescent="0.2">
      <c r="B14" s="6" t="s">
        <v>179</v>
      </c>
      <c r="C14" s="6">
        <v>100</v>
      </c>
      <c r="D14" s="147">
        <f>'option 3.2 modernised pack targ'!Y53</f>
        <v>83.737428782511259</v>
      </c>
      <c r="E14" s="43">
        <f t="shared" si="0"/>
        <v>-16.262571217488741</v>
      </c>
      <c r="F14" s="147">
        <f>'option 3.2 modernised pack targ'!AI53</f>
        <v>79.067150232159534</v>
      </c>
      <c r="G14" s="43">
        <f t="shared" si="1"/>
        <v>-20.932849767840466</v>
      </c>
      <c r="H14" s="147">
        <f>'option 3.2 modernised pack targ'!AS53</f>
        <v>81.589193098203779</v>
      </c>
      <c r="I14" s="43">
        <f t="shared" si="2"/>
        <v>-18.410806901796221</v>
      </c>
    </row>
    <row r="15" spans="2:9" x14ac:dyDescent="0.2">
      <c r="B15" s="6" t="s">
        <v>180</v>
      </c>
      <c r="C15" s="6">
        <v>100</v>
      </c>
      <c r="D15" s="147">
        <f>'option 3.3 limiting landfill'!Z68</f>
        <v>96.223745436245295</v>
      </c>
      <c r="E15" s="43">
        <f t="shared" si="0"/>
        <v>-3.7762545637547049</v>
      </c>
      <c r="F15" s="147">
        <f>'option 3.3 limiting landfill'!AJ68</f>
        <v>99.37537084952065</v>
      </c>
      <c r="G15" s="43">
        <f t="shared" si="1"/>
        <v>-0.62462915047935041</v>
      </c>
      <c r="H15" s="147">
        <f>'option 3.3 limiting landfill'!AT68</f>
        <v>102.49956758862648</v>
      </c>
      <c r="I15" s="43">
        <f t="shared" si="2"/>
        <v>2.4995675886264763</v>
      </c>
    </row>
    <row r="16" spans="2:9" x14ac:dyDescent="0.2">
      <c r="B16" s="6" t="s">
        <v>181</v>
      </c>
      <c r="C16" s="6">
        <v>100</v>
      </c>
      <c r="D16" s="147">
        <f>'option 3.4 combination'!Z68</f>
        <v>83.093244171437988</v>
      </c>
      <c r="E16" s="43">
        <f t="shared" si="0"/>
        <v>-16.906755828562012</v>
      </c>
      <c r="F16" s="147">
        <f>'option 3.4 combination'!AJ68</f>
        <v>75.704801487487558</v>
      </c>
      <c r="G16" s="43">
        <f t="shared" si="1"/>
        <v>-24.295198512512442</v>
      </c>
      <c r="H16" s="147">
        <f>'option 3.4 combination'!AT68</f>
        <v>74.583093557984924</v>
      </c>
      <c r="I16" s="43">
        <f t="shared" si="2"/>
        <v>-25.416906442015076</v>
      </c>
    </row>
    <row r="17" spans="2:9" x14ac:dyDescent="0.2">
      <c r="B17" s="6" t="s">
        <v>157</v>
      </c>
      <c r="C17" s="6">
        <v>100</v>
      </c>
      <c r="D17" s="147">
        <f>'scenario maximum feasible'!Z68</f>
        <v>63.886527856333863</v>
      </c>
      <c r="E17" s="43">
        <f t="shared" si="0"/>
        <v>-36.113472143666137</v>
      </c>
      <c r="F17" s="147">
        <f>'scenario maximum feasible'!AJ68</f>
        <v>64.28321138978464</v>
      </c>
      <c r="G17" s="43">
        <f t="shared" si="1"/>
        <v>-35.71678861021536</v>
      </c>
      <c r="H17" s="147">
        <f>'scenario maximum feasible'!AT68</f>
        <v>64.553607415674364</v>
      </c>
      <c r="I17" s="43">
        <f t="shared" si="2"/>
        <v>-35.446392584325636</v>
      </c>
    </row>
    <row r="18" spans="2:9" x14ac:dyDescent="0.2">
      <c r="B18" s="6" t="s">
        <v>158</v>
      </c>
      <c r="C18" s="6">
        <v>100</v>
      </c>
      <c r="D18" s="147">
        <f>'scenario plastics only'!Z32</f>
        <v>87.799796599230334</v>
      </c>
      <c r="E18" s="43">
        <f t="shared" si="0"/>
        <v>-12.200203400769666</v>
      </c>
      <c r="F18" s="147">
        <f>'scenario plastics only'!AJ32</f>
        <v>82.732507961123261</v>
      </c>
      <c r="G18" s="43">
        <f t="shared" si="1"/>
        <v>-17.267492038876739</v>
      </c>
      <c r="H18" s="147">
        <f>'scenario plastics only'!AT32</f>
        <v>86.965652087479825</v>
      </c>
      <c r="I18" s="43">
        <f t="shared" si="2"/>
        <v>-13.034347912520175</v>
      </c>
    </row>
    <row r="20" spans="2:9" x14ac:dyDescent="0.2">
      <c r="E20" s="226"/>
    </row>
  </sheetData>
  <mergeCells count="5">
    <mergeCell ref="D8:E8"/>
    <mergeCell ref="F8:G8"/>
    <mergeCell ref="H8:I8"/>
    <mergeCell ref="E3:G3"/>
    <mergeCell ref="E5:G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E7F23"/>
  </sheetPr>
  <dimension ref="A1:AU240"/>
  <sheetViews>
    <sheetView tabSelected="1" topLeftCell="N1" workbookViewId="0">
      <selection activeCell="AB5" sqref="AB5"/>
    </sheetView>
  </sheetViews>
  <sheetFormatPr defaultRowHeight="12.75" x14ac:dyDescent="0.2"/>
  <cols>
    <col min="2" max="2" width="18.7109375" customWidth="1"/>
    <col min="4" max="4" width="24" customWidth="1"/>
    <col min="5" max="5" width="21.42578125" customWidth="1"/>
    <col min="6" max="6" width="14.28515625" customWidth="1"/>
    <col min="7" max="7" width="18.7109375" customWidth="1"/>
    <col min="8" max="8" width="9.140625" style="1"/>
    <col min="10" max="10" width="12.7109375" customWidth="1"/>
    <col min="11" max="11" width="11" customWidth="1"/>
    <col min="14" max="14" width="11.85546875" customWidth="1"/>
    <col min="15" max="15" width="12.28515625" bestFit="1" customWidth="1"/>
    <col min="16" max="16" width="10.140625" bestFit="1" customWidth="1"/>
    <col min="17" max="17" width="11.140625" bestFit="1" customWidth="1"/>
    <col min="18" max="18" width="9.140625" style="1"/>
    <col min="19" max="19" width="10.42578125" customWidth="1"/>
    <col min="20" max="20" width="25.140625" customWidth="1"/>
    <col min="22" max="22" width="14.85546875" bestFit="1" customWidth="1"/>
    <col min="24" max="24" width="11.7109375" bestFit="1" customWidth="1"/>
    <col min="27" max="27" width="2.7109375" bestFit="1" customWidth="1"/>
    <col min="30" max="30" width="26" customWidth="1"/>
    <col min="32" max="32" width="14.85546875" bestFit="1" customWidth="1"/>
    <col min="33" max="33" width="8.140625" bestFit="1" customWidth="1"/>
    <col min="34" max="34" width="11.7109375" bestFit="1" customWidth="1"/>
    <col min="37" max="37" width="2.7109375" bestFit="1" customWidth="1"/>
    <col min="40" max="40" width="28.140625" customWidth="1"/>
    <col min="42" max="42" width="14.85546875" bestFit="1" customWidth="1"/>
    <col min="43" max="43" width="5.5703125" bestFit="1" customWidth="1"/>
    <col min="44" max="44" width="11.7109375" bestFit="1" customWidth="1"/>
    <col min="45" max="45" width="12.140625" bestFit="1" customWidth="1"/>
    <col min="46" max="46" width="10.7109375" bestFit="1" customWidth="1"/>
    <col min="47" max="47" width="2.7109375" bestFit="1" customWidth="1"/>
  </cols>
  <sheetData>
    <row r="1" spans="2:47" x14ac:dyDescent="0.2">
      <c r="R1"/>
      <c r="U1" s="1"/>
    </row>
    <row r="2" spans="2:47" x14ac:dyDescent="0.2">
      <c r="E2" s="53"/>
      <c r="F2" s="53"/>
      <c r="R2"/>
      <c r="U2" s="1"/>
    </row>
    <row r="3" spans="2:47" ht="20.25" x14ac:dyDescent="0.3">
      <c r="B3" s="23" t="s">
        <v>102</v>
      </c>
      <c r="C3" s="23"/>
      <c r="D3" s="23"/>
      <c r="L3" s="24" t="s">
        <v>103</v>
      </c>
      <c r="R3"/>
      <c r="S3" s="23" t="s">
        <v>15</v>
      </c>
      <c r="U3" s="1"/>
    </row>
    <row r="4" spans="2:47" x14ac:dyDescent="0.2">
      <c r="R4"/>
      <c r="U4" s="1"/>
    </row>
    <row r="5" spans="2:47" x14ac:dyDescent="0.2">
      <c r="R5"/>
      <c r="S5" s="25">
        <v>2020</v>
      </c>
      <c r="T5" s="25"/>
      <c r="U5" s="26"/>
      <c r="V5" s="25"/>
      <c r="W5" s="25"/>
      <c r="X5" s="25"/>
      <c r="Y5" s="306" t="s">
        <v>95</v>
      </c>
      <c r="Z5" s="306"/>
      <c r="AA5" s="25"/>
      <c r="AC5" s="25">
        <v>2025</v>
      </c>
      <c r="AD5" s="25"/>
      <c r="AE5" s="26"/>
      <c r="AF5" s="25"/>
      <c r="AG5" s="25"/>
      <c r="AH5" s="25"/>
      <c r="AI5" s="306" t="s">
        <v>95</v>
      </c>
      <c r="AJ5" s="306"/>
      <c r="AK5" s="25"/>
      <c r="AM5" s="25">
        <v>2030</v>
      </c>
      <c r="AN5" s="25"/>
      <c r="AO5" s="26"/>
      <c r="AP5" s="25"/>
      <c r="AQ5" s="25"/>
      <c r="AR5" s="25"/>
      <c r="AS5" s="306" t="s">
        <v>95</v>
      </c>
      <c r="AT5" s="306"/>
      <c r="AU5" s="25"/>
    </row>
    <row r="6" spans="2:47" x14ac:dyDescent="0.2">
      <c r="B6" s="84" t="s">
        <v>0</v>
      </c>
      <c r="C6" s="1"/>
      <c r="E6" s="54"/>
      <c r="J6" s="2"/>
      <c r="R6"/>
      <c r="S6" s="25"/>
      <c r="T6" s="25"/>
      <c r="U6" s="26"/>
      <c r="V6" s="25"/>
      <c r="W6" s="25"/>
      <c r="X6" s="25"/>
      <c r="Y6" s="26"/>
      <c r="Z6" s="25"/>
      <c r="AA6" s="25"/>
      <c r="AC6" s="25"/>
      <c r="AD6" s="25"/>
      <c r="AE6" s="26"/>
      <c r="AF6" s="25"/>
      <c r="AG6" s="25"/>
      <c r="AH6" s="25"/>
      <c r="AI6" s="26"/>
      <c r="AJ6" s="25"/>
      <c r="AK6" s="25"/>
      <c r="AM6" s="25"/>
      <c r="AN6" s="25"/>
      <c r="AO6" s="26"/>
      <c r="AP6" s="25"/>
      <c r="AQ6" s="25"/>
      <c r="AR6" s="25"/>
      <c r="AS6" s="26"/>
      <c r="AT6" s="25"/>
      <c r="AU6" s="25"/>
    </row>
    <row r="7" spans="2:47" x14ac:dyDescent="0.2">
      <c r="B7" t="str">
        <f>'option 3.3 limiting landfill'!B7</f>
        <v>as in BAU</v>
      </c>
      <c r="R7"/>
      <c r="S7" s="25"/>
      <c r="T7" s="27" t="s">
        <v>16</v>
      </c>
      <c r="U7" s="26">
        <v>100</v>
      </c>
      <c r="V7" s="25"/>
      <c r="W7" s="25"/>
      <c r="X7" s="25"/>
      <c r="Y7" s="25"/>
      <c r="Z7" s="25"/>
      <c r="AA7" s="25"/>
      <c r="AC7" s="25"/>
      <c r="AD7" s="27" t="s">
        <v>16</v>
      </c>
      <c r="AE7" s="26">
        <v>100</v>
      </c>
      <c r="AF7" s="25"/>
      <c r="AG7" s="25"/>
      <c r="AH7" s="25"/>
      <c r="AI7" s="25"/>
      <c r="AJ7" s="25"/>
      <c r="AK7" s="25"/>
      <c r="AM7" s="25"/>
      <c r="AN7" s="27" t="s">
        <v>16</v>
      </c>
      <c r="AO7" s="26">
        <v>100</v>
      </c>
      <c r="AP7" s="25"/>
      <c r="AQ7" s="25"/>
      <c r="AR7" s="25"/>
      <c r="AS7" s="25"/>
      <c r="AT7" s="25"/>
      <c r="AU7" s="25"/>
    </row>
    <row r="8" spans="2:47" x14ac:dyDescent="0.2">
      <c r="B8" t="str">
        <f>'option 3.3 limiting landfill'!B8</f>
        <v>increase 2015-2020</v>
      </c>
      <c r="C8" s="2">
        <f>'option 3.3 limiting landfill'!C8</f>
        <v>2.8975042901448815</v>
      </c>
      <c r="D8" t="s">
        <v>2</v>
      </c>
      <c r="H8"/>
      <c r="R8"/>
      <c r="S8" s="27"/>
      <c r="T8" s="27" t="s">
        <v>17</v>
      </c>
      <c r="U8" s="28">
        <f>U7*C25</f>
        <v>64.292854122969274</v>
      </c>
      <c r="V8" s="25"/>
      <c r="W8" s="25"/>
      <c r="X8" s="25"/>
      <c r="Y8" s="25"/>
      <c r="Z8" s="25"/>
      <c r="AA8" s="25"/>
      <c r="AC8" s="27"/>
      <c r="AD8" s="27" t="s">
        <v>17</v>
      </c>
      <c r="AE8" s="28">
        <f>AE7*C25</f>
        <v>64.292854122969274</v>
      </c>
      <c r="AF8" s="25"/>
      <c r="AG8" s="25"/>
      <c r="AH8" s="25"/>
      <c r="AI8" s="25"/>
      <c r="AJ8" s="25"/>
      <c r="AK8" s="25"/>
      <c r="AM8" s="27"/>
      <c r="AN8" s="27" t="s">
        <v>17</v>
      </c>
      <c r="AO8" s="28">
        <f>AO7*C25</f>
        <v>64.292854122969274</v>
      </c>
      <c r="AP8" s="25"/>
      <c r="AQ8" s="25"/>
      <c r="AR8" s="25"/>
      <c r="AS8" s="25"/>
      <c r="AT8" s="25"/>
      <c r="AU8" s="25"/>
    </row>
    <row r="9" spans="2:47" x14ac:dyDescent="0.2">
      <c r="B9" t="str">
        <f>'option 3.3 limiting landfill'!B9</f>
        <v>increase 2015-2025</v>
      </c>
      <c r="C9" s="2">
        <f>'option 3.3 limiting landfill'!C9</f>
        <v>5.1828712412524975</v>
      </c>
      <c r="D9" t="s">
        <v>2</v>
      </c>
      <c r="E9" s="1"/>
      <c r="F9" s="1"/>
      <c r="G9" s="1"/>
      <c r="I9" s="1"/>
      <c r="J9" s="1"/>
      <c r="K9" s="1"/>
      <c r="R9"/>
      <c r="S9" s="27"/>
      <c r="T9" s="27" t="s">
        <v>19</v>
      </c>
      <c r="U9" s="28">
        <f>U7*C26</f>
        <v>35.707145877030719</v>
      </c>
      <c r="V9" s="25"/>
      <c r="W9" s="25"/>
      <c r="X9" s="25"/>
      <c r="Y9" s="26"/>
      <c r="Z9" s="25"/>
      <c r="AA9" s="25"/>
      <c r="AC9" s="27"/>
      <c r="AD9" s="27" t="s">
        <v>19</v>
      </c>
      <c r="AE9" s="28">
        <f>AE7*C26</f>
        <v>35.707145877030719</v>
      </c>
      <c r="AF9" s="25"/>
      <c r="AG9" s="25"/>
      <c r="AH9" s="25"/>
      <c r="AI9" s="26"/>
      <c r="AJ9" s="25"/>
      <c r="AK9" s="25"/>
      <c r="AM9" s="27"/>
      <c r="AN9" s="27" t="s">
        <v>19</v>
      </c>
      <c r="AO9" s="28">
        <f>AO7*C26</f>
        <v>35.707145877030719</v>
      </c>
      <c r="AP9" s="25"/>
      <c r="AQ9" s="25"/>
      <c r="AR9" s="25"/>
      <c r="AS9" s="26"/>
      <c r="AT9" s="25"/>
      <c r="AU9" s="25"/>
    </row>
    <row r="10" spans="2:47" x14ac:dyDescent="0.2">
      <c r="B10" t="str">
        <f>'option 3.3 limiting landfill'!B10</f>
        <v>increase 2015-2030</v>
      </c>
      <c r="C10" s="2">
        <f>'option 3.3 limiting landfill'!C10</f>
        <v>6.7064492086575767</v>
      </c>
      <c r="D10" t="s">
        <v>2</v>
      </c>
      <c r="R10"/>
      <c r="S10" s="25"/>
      <c r="T10" s="25"/>
      <c r="U10" s="26"/>
      <c r="V10" s="25"/>
      <c r="W10" s="25"/>
      <c r="X10" s="25"/>
      <c r="Y10" s="26"/>
      <c r="Z10" s="25"/>
      <c r="AA10" s="25"/>
      <c r="AC10" s="25"/>
      <c r="AD10" s="25"/>
      <c r="AE10" s="26"/>
      <c r="AF10" s="25"/>
      <c r="AG10" s="25"/>
      <c r="AH10" s="25"/>
      <c r="AI10" s="26"/>
      <c r="AJ10" s="25"/>
      <c r="AK10" s="25"/>
      <c r="AM10" s="25"/>
      <c r="AN10" s="25"/>
      <c r="AO10" s="26"/>
      <c r="AP10" s="25"/>
      <c r="AQ10" s="25"/>
      <c r="AR10" s="25"/>
      <c r="AS10" s="26"/>
      <c r="AT10" s="25"/>
      <c r="AU10" s="25"/>
    </row>
    <row r="11" spans="2:47" x14ac:dyDescent="0.2">
      <c r="R11"/>
      <c r="S11" s="25"/>
      <c r="T11" s="27" t="s">
        <v>18</v>
      </c>
      <c r="U11" s="28">
        <f>U8+U8*C8/100</f>
        <v>66.155742329438894</v>
      </c>
      <c r="V11" s="27"/>
      <c r="W11" s="26"/>
      <c r="X11" s="25"/>
      <c r="Y11" s="25"/>
      <c r="Z11" s="25"/>
      <c r="AA11" s="25"/>
      <c r="AC11" s="25"/>
      <c r="AD11" s="27" t="s">
        <v>171</v>
      </c>
      <c r="AE11" s="28">
        <f>AE8+AE8*C9/100</f>
        <v>67.625069969489076</v>
      </c>
      <c r="AF11" s="27"/>
      <c r="AG11" s="26"/>
      <c r="AH11" s="25"/>
      <c r="AI11" s="25"/>
      <c r="AJ11" s="25"/>
      <c r="AK11" s="25"/>
      <c r="AM11" s="25"/>
      <c r="AN11" s="27" t="s">
        <v>146</v>
      </c>
      <c r="AO11" s="28">
        <f>AO8+AO8*C10/100</f>
        <v>68.60462172952252</v>
      </c>
      <c r="AP11" s="27"/>
      <c r="AQ11" s="26"/>
      <c r="AR11" s="25"/>
      <c r="AS11" s="25"/>
      <c r="AT11" s="25"/>
      <c r="AU11" s="25"/>
    </row>
    <row r="12" spans="2:47" x14ac:dyDescent="0.2">
      <c r="H12" s="2"/>
      <c r="N12" t="s">
        <v>262</v>
      </c>
      <c r="P12" t="s">
        <v>263</v>
      </c>
      <c r="R12"/>
      <c r="S12" s="25"/>
      <c r="T12" s="27" t="s">
        <v>20</v>
      </c>
      <c r="U12" s="28">
        <f>U9+U9*C16/100</f>
        <v>39.218448935715259</v>
      </c>
      <c r="V12" s="27"/>
      <c r="W12" s="26"/>
      <c r="X12" s="25"/>
      <c r="Y12" s="25"/>
      <c r="Z12" s="25"/>
      <c r="AA12" s="25"/>
      <c r="AC12" s="25"/>
      <c r="AD12" s="27" t="s">
        <v>172</v>
      </c>
      <c r="AE12" s="28">
        <f>AE9+AE9*C17/100</f>
        <v>43.07503999956235</v>
      </c>
      <c r="AF12" s="27"/>
      <c r="AG12" s="26"/>
      <c r="AH12" s="25"/>
      <c r="AI12" s="25"/>
      <c r="AJ12" s="25"/>
      <c r="AK12" s="25"/>
      <c r="AM12" s="25"/>
      <c r="AN12" s="27" t="s">
        <v>147</v>
      </c>
      <c r="AO12" s="28">
        <f>AO9+AO9*C18/100</f>
        <v>47.310873359761452</v>
      </c>
      <c r="AP12" s="27"/>
      <c r="AQ12" s="26"/>
      <c r="AR12" s="25"/>
      <c r="AS12" s="25"/>
      <c r="AT12" s="25"/>
      <c r="AU12" s="25"/>
    </row>
    <row r="13" spans="2:47" ht="15" thickBot="1" x14ac:dyDescent="0.25">
      <c r="E13" s="248" t="s">
        <v>71</v>
      </c>
      <c r="F13" s="248" t="s">
        <v>70</v>
      </c>
      <c r="G13" s="248" t="s">
        <v>73</v>
      </c>
      <c r="H13" s="257" t="s">
        <v>69</v>
      </c>
      <c r="K13" t="s">
        <v>34</v>
      </c>
      <c r="L13" t="s">
        <v>75</v>
      </c>
      <c r="N13" t="str">
        <f>K13</f>
        <v>consumer</v>
      </c>
      <c r="O13" t="str">
        <f>L13</f>
        <v>professional</v>
      </c>
      <c r="P13" t="str">
        <f>N13</f>
        <v>consumer</v>
      </c>
      <c r="Q13" t="str">
        <f>O13</f>
        <v>professional</v>
      </c>
      <c r="R13"/>
      <c r="S13" s="25"/>
      <c r="T13" s="27" t="s">
        <v>98</v>
      </c>
      <c r="U13" s="28">
        <f>SUM(U11:U12)</f>
        <v>105.37419126515415</v>
      </c>
      <c r="V13" s="27"/>
      <c r="W13" s="26"/>
      <c r="X13" s="25"/>
      <c r="Y13" s="26"/>
      <c r="Z13" s="25"/>
      <c r="AA13" s="25"/>
      <c r="AC13" s="25"/>
      <c r="AD13" s="27" t="s">
        <v>173</v>
      </c>
      <c r="AE13" s="28">
        <f>SUM(AE11:AE12)</f>
        <v>110.70010996905143</v>
      </c>
      <c r="AF13" s="27"/>
      <c r="AG13" s="26"/>
      <c r="AH13" s="25"/>
      <c r="AI13" s="26"/>
      <c r="AJ13" s="25"/>
      <c r="AK13" s="25"/>
      <c r="AM13" s="25"/>
      <c r="AN13" s="27" t="s">
        <v>150</v>
      </c>
      <c r="AO13" s="28">
        <f>SUM(AO11:AO12)</f>
        <v>115.91549508928398</v>
      </c>
      <c r="AP13" s="27"/>
      <c r="AQ13" s="26"/>
      <c r="AR13" s="25"/>
      <c r="AS13" s="26"/>
      <c r="AT13" s="25"/>
      <c r="AU13" s="25"/>
    </row>
    <row r="14" spans="2:47" ht="15" thickTop="1" x14ac:dyDescent="0.2">
      <c r="B14" s="84" t="s">
        <v>5</v>
      </c>
      <c r="C14" s="53"/>
      <c r="E14" s="249" t="s">
        <v>78</v>
      </c>
      <c r="F14" s="249" t="s">
        <v>35</v>
      </c>
      <c r="G14" s="256" t="s">
        <v>34</v>
      </c>
      <c r="H14" s="258">
        <v>4443</v>
      </c>
      <c r="J14" s="250" t="s">
        <v>258</v>
      </c>
      <c r="K14">
        <f>H14+H16*(H14/(H14+H15))</f>
        <v>7975.0648838228844</v>
      </c>
      <c r="L14">
        <f>H15+H16*(H15/(H14+H15))</f>
        <v>4307.9351161771156</v>
      </c>
      <c r="N14" s="2">
        <f>K14/$Q$35</f>
        <v>52.467532130413716</v>
      </c>
      <c r="O14" s="2">
        <f>L14/$Q$35</f>
        <v>28.341678395902075</v>
      </c>
      <c r="P14" s="240">
        <f>N14*10*$O$35</f>
        <v>6862753.202658114</v>
      </c>
      <c r="Q14" s="240">
        <f>O14*10*$O$35</f>
        <v>3707091.5341839911</v>
      </c>
      <c r="R14"/>
      <c r="S14" s="25"/>
      <c r="T14" s="27"/>
      <c r="U14" s="26"/>
      <c r="V14" s="27"/>
      <c r="W14" s="25"/>
      <c r="X14" s="25"/>
      <c r="Y14" s="25"/>
      <c r="Z14" s="25"/>
      <c r="AA14" s="25"/>
      <c r="AC14" s="25"/>
      <c r="AD14" s="27"/>
      <c r="AE14" s="26"/>
      <c r="AF14" s="27"/>
      <c r="AG14" s="25"/>
      <c r="AH14" s="25"/>
      <c r="AI14" s="25"/>
      <c r="AJ14" s="25"/>
      <c r="AK14" s="25"/>
      <c r="AM14" s="25"/>
      <c r="AN14" s="27"/>
      <c r="AO14" s="26"/>
      <c r="AP14" s="27"/>
      <c r="AQ14" s="25"/>
      <c r="AR14" s="25"/>
      <c r="AS14" s="25"/>
      <c r="AT14" s="25"/>
      <c r="AU14" s="25"/>
    </row>
    <row r="15" spans="2:47" ht="14.25" x14ac:dyDescent="0.2">
      <c r="B15" t="str">
        <f>'option 3.3 limiting landfill'!B15</f>
        <v>as in BAU</v>
      </c>
      <c r="E15" s="249" t="s">
        <v>78</v>
      </c>
      <c r="F15" s="249" t="s">
        <v>35</v>
      </c>
      <c r="G15" s="256" t="s">
        <v>75</v>
      </c>
      <c r="H15" s="259">
        <v>2400</v>
      </c>
      <c r="K15" s="2">
        <f>K14/(K14+L14)*100</f>
        <v>64.927663305567734</v>
      </c>
      <c r="L15" s="2">
        <f>L14/(L14+K14)*100</f>
        <v>35.072336694432273</v>
      </c>
      <c r="N15" s="2"/>
      <c r="O15" s="2"/>
      <c r="P15" s="240"/>
      <c r="Q15" s="240"/>
      <c r="R15"/>
      <c r="S15" s="25"/>
      <c r="T15" s="27" t="s">
        <v>48</v>
      </c>
      <c r="U15" s="28">
        <f>U11*J74/100</f>
        <v>58.929736654050473</v>
      </c>
      <c r="V15" s="27"/>
      <c r="W15" s="25"/>
      <c r="X15" s="25"/>
      <c r="Y15" s="25"/>
      <c r="Z15" s="25"/>
      <c r="AA15" s="25"/>
      <c r="AC15" s="25"/>
      <c r="AD15" s="27" t="s">
        <v>48</v>
      </c>
      <c r="AE15" s="28">
        <f>AE11*J74/100</f>
        <v>60.238573768378245</v>
      </c>
      <c r="AF15" s="27"/>
      <c r="AG15" s="25"/>
      <c r="AH15" s="25"/>
      <c r="AI15" s="25"/>
      <c r="AJ15" s="25"/>
      <c r="AK15" s="25"/>
      <c r="AM15" s="25"/>
      <c r="AN15" s="27" t="s">
        <v>48</v>
      </c>
      <c r="AO15" s="28">
        <f>AO11*J74/100</f>
        <v>61.111131844596756</v>
      </c>
      <c r="AP15" s="27"/>
      <c r="AQ15" s="25"/>
      <c r="AR15" s="25"/>
      <c r="AS15" s="25"/>
      <c r="AT15" s="25"/>
      <c r="AU15" s="25"/>
    </row>
    <row r="16" spans="2:47" ht="14.25" x14ac:dyDescent="0.2">
      <c r="B16" t="str">
        <f>'option 3.3 limiting landfill'!B16</f>
        <v>increase 2015-2020</v>
      </c>
      <c r="C16" s="2">
        <f>'option 3.3 limiting landfill'!C16</f>
        <v>9.8336144557082932</v>
      </c>
      <c r="D16" t="str">
        <f>'option 3.3 limiting landfill'!D16</f>
        <v>%</v>
      </c>
      <c r="E16" s="249" t="s">
        <v>78</v>
      </c>
      <c r="F16" s="249" t="s">
        <v>35</v>
      </c>
      <c r="G16" s="256" t="s">
        <v>8</v>
      </c>
      <c r="H16" s="259">
        <v>5440</v>
      </c>
      <c r="N16" s="2"/>
      <c r="O16" s="2"/>
      <c r="P16" s="240"/>
      <c r="Q16" s="240"/>
      <c r="R16"/>
      <c r="S16" s="25"/>
      <c r="T16" s="27" t="s">
        <v>46</v>
      </c>
      <c r="U16" s="28">
        <f>U12*J72/100</f>
        <v>2.1748211728422415</v>
      </c>
      <c r="V16" s="27"/>
      <c r="W16" s="25"/>
      <c r="X16" s="25"/>
      <c r="Y16" s="25"/>
      <c r="Z16" s="25"/>
      <c r="AA16" s="25"/>
      <c r="AC16" s="25"/>
      <c r="AD16" s="27" t="s">
        <v>46</v>
      </c>
      <c r="AE16" s="28">
        <f>AE12*J72/100</f>
        <v>2.3886847020806616</v>
      </c>
      <c r="AF16" s="27"/>
      <c r="AG16" s="25"/>
      <c r="AH16" s="25"/>
      <c r="AI16" s="25"/>
      <c r="AJ16" s="25"/>
      <c r="AK16" s="25"/>
      <c r="AM16" s="25"/>
      <c r="AN16" s="27" t="s">
        <v>46</v>
      </c>
      <c r="AO16" s="28">
        <f>AO12*J72/100</f>
        <v>2.6235787462457587</v>
      </c>
      <c r="AP16" s="27"/>
      <c r="AQ16" s="25"/>
      <c r="AR16" s="25"/>
      <c r="AS16" s="25"/>
      <c r="AT16" s="25"/>
      <c r="AU16" s="25"/>
    </row>
    <row r="17" spans="2:47" ht="14.25" x14ac:dyDescent="0.2">
      <c r="B17" t="str">
        <f>'option 3.3 limiting landfill'!B17</f>
        <v>increase 2015-2025</v>
      </c>
      <c r="C17" s="2">
        <f>'option 3.3 limiting landfill'!C17</f>
        <v>20.634228644051781</v>
      </c>
      <c r="D17" t="str">
        <f>'option 3.3 limiting landfill'!D17</f>
        <v>%</v>
      </c>
      <c r="E17" s="249" t="s">
        <v>78</v>
      </c>
      <c r="F17" s="249" t="s">
        <v>36</v>
      </c>
      <c r="G17" s="256" t="s">
        <v>34</v>
      </c>
      <c r="H17" s="259">
        <v>2121</v>
      </c>
      <c r="J17" s="250" t="s">
        <v>259</v>
      </c>
      <c r="K17">
        <f>H17+H19*(H17/(H17+H18))</f>
        <v>2597.888485947416</v>
      </c>
      <c r="L17">
        <f>H18+H19*(H18/(H17+H18))</f>
        <v>104.11151405258386</v>
      </c>
      <c r="N17" s="2">
        <f>K17/$Q$38</f>
        <v>371.12692656391658</v>
      </c>
      <c r="O17" s="2">
        <f>L17/$Q$38</f>
        <v>14.873073436083407</v>
      </c>
      <c r="P17" s="240">
        <f>N17*10*$O$38</f>
        <v>2341810.9066183139</v>
      </c>
      <c r="Q17" s="240">
        <f>O17*10*$O$38</f>
        <v>93849.093381686296</v>
      </c>
      <c r="R17"/>
      <c r="S17" s="25"/>
      <c r="T17" s="27"/>
      <c r="U17" s="26"/>
      <c r="V17" s="27"/>
      <c r="W17" s="25"/>
      <c r="X17" s="25"/>
      <c r="Y17" s="25" t="s">
        <v>100</v>
      </c>
      <c r="Z17" s="25" t="s">
        <v>101</v>
      </c>
      <c r="AA17" s="25"/>
      <c r="AC17" s="25"/>
      <c r="AD17" s="27"/>
      <c r="AE17" s="26"/>
      <c r="AF17" s="27"/>
      <c r="AG17" s="25"/>
      <c r="AH17" s="25"/>
      <c r="AI17" s="25" t="s">
        <v>100</v>
      </c>
      <c r="AJ17" s="25" t="s">
        <v>101</v>
      </c>
      <c r="AK17" s="25"/>
      <c r="AM17" s="25"/>
      <c r="AN17" s="27"/>
      <c r="AO17" s="26"/>
      <c r="AP17" s="27"/>
      <c r="AQ17" s="25"/>
      <c r="AR17" s="25"/>
      <c r="AS17" s="25" t="s">
        <v>100</v>
      </c>
      <c r="AT17" s="25" t="s">
        <v>101</v>
      </c>
      <c r="AU17" s="25"/>
    </row>
    <row r="18" spans="2:47" ht="14.25" x14ac:dyDescent="0.2">
      <c r="B18" t="str">
        <f>'option 3.3 limiting landfill'!B18</f>
        <v>increase 2015-2030</v>
      </c>
      <c r="C18" s="2">
        <f>'option 3.3 limiting landfill'!C18</f>
        <v>32.496933590525494</v>
      </c>
      <c r="D18" t="str">
        <f>'option 3.3 limiting landfill'!D18</f>
        <v>%</v>
      </c>
      <c r="E18" s="249" t="s">
        <v>78</v>
      </c>
      <c r="F18" s="249" t="s">
        <v>36</v>
      </c>
      <c r="G18" s="256" t="s">
        <v>75</v>
      </c>
      <c r="H18" s="259">
        <v>85</v>
      </c>
      <c r="K18" s="2">
        <f>K17/(K17+L17)*100</f>
        <v>96.146872166817758</v>
      </c>
      <c r="L18" s="2">
        <f>L17/(L17+K17)*100</f>
        <v>3.8531278331822301</v>
      </c>
      <c r="N18" s="2"/>
      <c r="O18" s="2"/>
      <c r="P18" s="240"/>
      <c r="Q18" s="240"/>
      <c r="R18"/>
      <c r="S18" s="25"/>
      <c r="T18" s="27" t="s">
        <v>25</v>
      </c>
      <c r="U18" s="28">
        <f>U11</f>
        <v>66.155742329438894</v>
      </c>
      <c r="V18" s="27" t="s">
        <v>84</v>
      </c>
      <c r="W18" s="28">
        <f>E49</f>
        <v>26.030271701672291</v>
      </c>
      <c r="X18" s="25" t="s">
        <v>2</v>
      </c>
      <c r="Y18" s="28">
        <f>U18-U18*W18/100</f>
        <v>48.935222854827728</v>
      </c>
      <c r="Z18" s="28">
        <f>IF(Y18&lt;(Y20+Y22),Y18,(Y20+Y22))</f>
        <v>48.935222854827728</v>
      </c>
      <c r="AA18" s="25"/>
      <c r="AB18" s="45"/>
      <c r="AC18" s="25"/>
      <c r="AD18" s="27" t="s">
        <v>25</v>
      </c>
      <c r="AE18" s="28">
        <f>AE11</f>
        <v>67.625069969489076</v>
      </c>
      <c r="AF18" s="27" t="s">
        <v>84</v>
      </c>
      <c r="AG18" s="28">
        <f>H49</f>
        <v>36.343694104712718</v>
      </c>
      <c r="AH18" s="25" t="s">
        <v>2</v>
      </c>
      <c r="AI18" s="28">
        <f>AE18-AE18*AG18/100</f>
        <v>43.047621401680026</v>
      </c>
      <c r="AJ18" s="28">
        <f>IF(AI18&lt;(AI20+AI22),AI18,(AI20+AI22))</f>
        <v>41.383335990192272</v>
      </c>
      <c r="AK18" s="25"/>
      <c r="AM18" s="25"/>
      <c r="AN18" s="27" t="s">
        <v>25</v>
      </c>
      <c r="AO18" s="28">
        <f>AO11</f>
        <v>68.60462172952252</v>
      </c>
      <c r="AP18" s="27" t="s">
        <v>84</v>
      </c>
      <c r="AQ18" s="28">
        <f>K49</f>
        <v>36.343694104712718</v>
      </c>
      <c r="AR18" s="25" t="s">
        <v>2</v>
      </c>
      <c r="AS18" s="28">
        <f>AO18-AO18*AQ18/100</f>
        <v>43.671167866449579</v>
      </c>
      <c r="AT18" s="28">
        <f>IF(AS18&lt;(AS20+AS22),AS18,(AS20+AS22))</f>
        <v>41.982775216259434</v>
      </c>
      <c r="AU18" s="25"/>
    </row>
    <row r="19" spans="2:47" ht="14.25" x14ac:dyDescent="0.2">
      <c r="C19" s="2"/>
      <c r="D19" s="2"/>
      <c r="E19" s="249" t="s">
        <v>78</v>
      </c>
      <c r="F19" s="249" t="s">
        <v>36</v>
      </c>
      <c r="G19" s="256" t="s">
        <v>8</v>
      </c>
      <c r="H19" s="259">
        <v>496</v>
      </c>
      <c r="I19" s="2"/>
      <c r="J19" s="2"/>
      <c r="K19" s="2"/>
      <c r="N19" s="2"/>
      <c r="O19" s="2"/>
      <c r="P19" s="240"/>
      <c r="Q19" s="240"/>
      <c r="R19"/>
      <c r="S19" s="25"/>
      <c r="T19" s="25"/>
      <c r="U19" s="26"/>
      <c r="V19" s="25"/>
      <c r="W19" s="25"/>
      <c r="X19" s="25"/>
      <c r="Y19" s="25"/>
      <c r="Z19" s="26"/>
      <c r="AA19" s="25"/>
      <c r="AB19" s="45"/>
      <c r="AC19" s="25"/>
      <c r="AD19" s="25"/>
      <c r="AE19" s="26"/>
      <c r="AF19" s="25"/>
      <c r="AG19" s="25"/>
      <c r="AH19" s="25"/>
      <c r="AI19" s="25"/>
      <c r="AJ19" s="26"/>
      <c r="AK19" s="25"/>
      <c r="AM19" s="25"/>
      <c r="AN19" s="25"/>
      <c r="AO19" s="26"/>
      <c r="AP19" s="25"/>
      <c r="AQ19" s="25"/>
      <c r="AR19" s="25"/>
      <c r="AS19" s="25"/>
      <c r="AT19" s="26"/>
      <c r="AU19" s="25"/>
    </row>
    <row r="20" spans="2:47" ht="14.25" x14ac:dyDescent="0.2">
      <c r="E20" s="249" t="s">
        <v>78</v>
      </c>
      <c r="F20" s="249" t="s">
        <v>37</v>
      </c>
      <c r="G20" s="256" t="s">
        <v>34</v>
      </c>
      <c r="H20" s="259">
        <v>14618</v>
      </c>
      <c r="J20" s="250" t="s">
        <v>260</v>
      </c>
      <c r="K20">
        <f>H20+H22*(H20/(H20+H21))</f>
        <v>15681.494085173501</v>
      </c>
      <c r="L20">
        <f>H21+H22*(H21/(H20+H21))</f>
        <v>641.50591482649838</v>
      </c>
      <c r="N20" s="2">
        <f>K20/$Q$36</f>
        <v>475.19679045980308</v>
      </c>
      <c r="O20" s="2">
        <f>L20/$Q$36</f>
        <v>19.439573176560557</v>
      </c>
      <c r="P20" s="240">
        <f>N20*10*$O$36</f>
        <v>76810809.209922567</v>
      </c>
      <c r="Q20" s="240">
        <f>O20*10*$O$36</f>
        <v>3142212.6082592485</v>
      </c>
      <c r="R20"/>
      <c r="S20" s="25"/>
      <c r="T20" s="27" t="s">
        <v>38</v>
      </c>
      <c r="U20" s="28">
        <f>U15</f>
        <v>58.929736654050473</v>
      </c>
      <c r="V20" s="27" t="s">
        <v>84</v>
      </c>
      <c r="W20" s="28">
        <f>E87</f>
        <v>16.271461568041236</v>
      </c>
      <c r="X20" s="25" t="s">
        <v>2</v>
      </c>
      <c r="Y20" s="28">
        <f>U20-W20*U20/100</f>
        <v>49.341007202238742</v>
      </c>
      <c r="Z20" s="29" t="s">
        <v>97</v>
      </c>
      <c r="AA20" s="25"/>
      <c r="AB20" s="45"/>
      <c r="AC20" s="25"/>
      <c r="AD20" s="27" t="s">
        <v>38</v>
      </c>
      <c r="AE20" s="28">
        <f>AE15</f>
        <v>60.238573768378245</v>
      </c>
      <c r="AF20" s="27" t="s">
        <v>84</v>
      </c>
      <c r="AG20" s="190">
        <f>F87</f>
        <v>39.106517504029995</v>
      </c>
      <c r="AH20" s="25" t="s">
        <v>2</v>
      </c>
      <c r="AI20" s="28">
        <f>AE20-AG20*AE20/100</f>
        <v>36.68136537346939</v>
      </c>
      <c r="AJ20" s="29" t="s">
        <v>97</v>
      </c>
      <c r="AK20" s="25"/>
      <c r="AM20" s="25"/>
      <c r="AN20" s="27" t="s">
        <v>38</v>
      </c>
      <c r="AO20" s="28">
        <f>AO15</f>
        <v>61.111131844596756</v>
      </c>
      <c r="AP20" s="27" t="s">
        <v>84</v>
      </c>
      <c r="AQ20" s="190">
        <f>G87</f>
        <v>39.106517504029995</v>
      </c>
      <c r="AR20" s="25" t="s">
        <v>2</v>
      </c>
      <c r="AS20" s="28">
        <f>AO20-AQ20*AO20/100</f>
        <v>37.212696372878675</v>
      </c>
      <c r="AT20" s="29" t="s">
        <v>97</v>
      </c>
      <c r="AU20" s="25"/>
    </row>
    <row r="21" spans="2:47" ht="14.25" x14ac:dyDescent="0.2">
      <c r="E21" s="249" t="s">
        <v>78</v>
      </c>
      <c r="F21" s="249" t="s">
        <v>37</v>
      </c>
      <c r="G21" s="256" t="s">
        <v>75</v>
      </c>
      <c r="H21" s="259">
        <v>598</v>
      </c>
      <c r="K21" s="2">
        <f>K20/(K20+L20)*100</f>
        <v>96.069926393270237</v>
      </c>
      <c r="L21" s="2">
        <f>L20/(L20+K20)*100</f>
        <v>3.9300736067297581</v>
      </c>
      <c r="N21" s="2"/>
      <c r="O21" s="2"/>
      <c r="P21" s="240"/>
      <c r="Q21" s="240"/>
      <c r="R21"/>
      <c r="S21" s="25"/>
      <c r="T21" s="27"/>
      <c r="U21" s="26"/>
      <c r="V21" s="25"/>
      <c r="W21" s="25"/>
      <c r="X21" s="25"/>
      <c r="Y21" s="26"/>
      <c r="Z21" s="26"/>
      <c r="AA21" s="25"/>
      <c r="AB21" s="45"/>
      <c r="AC21" s="25"/>
      <c r="AD21" s="27"/>
      <c r="AE21" s="26"/>
      <c r="AF21" s="25"/>
      <c r="AG21" s="25"/>
      <c r="AH21" s="25"/>
      <c r="AI21" s="26"/>
      <c r="AJ21" s="26"/>
      <c r="AK21" s="25"/>
      <c r="AM21" s="25"/>
      <c r="AN21" s="27"/>
      <c r="AO21" s="26"/>
      <c r="AP21" s="25"/>
      <c r="AQ21" s="25"/>
      <c r="AR21" s="25"/>
      <c r="AS21" s="26"/>
      <c r="AT21" s="26"/>
      <c r="AU21" s="25"/>
    </row>
    <row r="22" spans="2:47" ht="14.25" x14ac:dyDescent="0.2">
      <c r="E22" s="249" t="s">
        <v>78</v>
      </c>
      <c r="F22" s="249" t="s">
        <v>37</v>
      </c>
      <c r="G22" s="256" t="s">
        <v>8</v>
      </c>
      <c r="H22" s="259">
        <v>1107</v>
      </c>
      <c r="N22" s="2"/>
      <c r="O22" s="2"/>
      <c r="P22" s="240"/>
      <c r="Q22" s="240"/>
      <c r="R22"/>
      <c r="S22" s="25"/>
      <c r="T22" s="27" t="s">
        <v>42</v>
      </c>
      <c r="U22" s="28">
        <f>U18-U20</f>
        <v>7.2260056753884214</v>
      </c>
      <c r="V22" s="27" t="s">
        <v>84</v>
      </c>
      <c r="W22" s="28">
        <f>W18</f>
        <v>26.030271701672291</v>
      </c>
      <c r="X22" s="25" t="s">
        <v>2</v>
      </c>
      <c r="Y22" s="28">
        <f>U22-W22*U22/100</f>
        <v>5.3450567649065555</v>
      </c>
      <c r="Z22" s="29" t="s">
        <v>97</v>
      </c>
      <c r="AA22" s="25"/>
      <c r="AB22" s="45"/>
      <c r="AC22" s="25"/>
      <c r="AD22" s="27" t="s">
        <v>42</v>
      </c>
      <c r="AE22" s="28">
        <f>AE18-AE20</f>
        <v>7.3864962011108304</v>
      </c>
      <c r="AF22" s="27" t="s">
        <v>84</v>
      </c>
      <c r="AG22" s="28">
        <f>AG18</f>
        <v>36.343694104712718</v>
      </c>
      <c r="AH22" s="25" t="s">
        <v>2</v>
      </c>
      <c r="AI22" s="28">
        <f>AE22-AG22*AE22/100</f>
        <v>4.7019706167228845</v>
      </c>
      <c r="AJ22" s="29" t="s">
        <v>97</v>
      </c>
      <c r="AK22" s="25"/>
      <c r="AM22" s="25"/>
      <c r="AN22" s="27" t="s">
        <v>42</v>
      </c>
      <c r="AO22" s="28">
        <f>AO18-AO20</f>
        <v>7.493489884925765</v>
      </c>
      <c r="AP22" s="27" t="s">
        <v>84</v>
      </c>
      <c r="AQ22" s="28">
        <f>AQ18</f>
        <v>36.343694104712718</v>
      </c>
      <c r="AR22" s="25" t="s">
        <v>2</v>
      </c>
      <c r="AS22" s="28">
        <f>AO22-AQ22*AO22/100</f>
        <v>4.7700788433807562</v>
      </c>
      <c r="AT22" s="29" t="s">
        <v>97</v>
      </c>
      <c r="AU22" s="25"/>
    </row>
    <row r="23" spans="2:47" ht="14.25" x14ac:dyDescent="0.2">
      <c r="B23" s="4" t="s">
        <v>257</v>
      </c>
      <c r="E23" s="249" t="s">
        <v>78</v>
      </c>
      <c r="F23" s="249" t="s">
        <v>31</v>
      </c>
      <c r="G23" s="256" t="s">
        <v>34</v>
      </c>
      <c r="H23" s="259">
        <v>19101</v>
      </c>
      <c r="J23" s="250" t="s">
        <v>261</v>
      </c>
      <c r="K23">
        <f>H23+H25*(H23/(H23+H24))</f>
        <v>25414.552319329952</v>
      </c>
      <c r="L23">
        <f>H24+H25*(H24/(H23+H24))</f>
        <v>45118.447680670048</v>
      </c>
      <c r="N23" s="2">
        <f>K23/$Q$37</f>
        <v>168.30829350549638</v>
      </c>
      <c r="O23" s="2">
        <f>L23/$Q$37</f>
        <v>298.79766675940431</v>
      </c>
      <c r="P23" s="240">
        <f>N23*10*$O$37</f>
        <v>33468104.163567957</v>
      </c>
      <c r="Q23" s="240">
        <f>O23*10*$O$37</f>
        <v>59415916.035107546</v>
      </c>
      <c r="R23"/>
      <c r="S23" s="25"/>
      <c r="T23" s="25"/>
      <c r="U23" s="26"/>
      <c r="V23" s="25"/>
      <c r="W23" s="25"/>
      <c r="X23" s="25"/>
      <c r="Y23" s="26"/>
      <c r="Z23" s="26"/>
      <c r="AA23" s="25"/>
      <c r="AB23" s="45"/>
      <c r="AC23" s="25"/>
      <c r="AD23" s="25"/>
      <c r="AE23" s="26"/>
      <c r="AF23" s="25"/>
      <c r="AG23" s="25"/>
      <c r="AH23" s="25"/>
      <c r="AI23" s="26"/>
      <c r="AJ23" s="26"/>
      <c r="AK23" s="25"/>
      <c r="AM23" s="25"/>
      <c r="AN23" s="25"/>
      <c r="AO23" s="26"/>
      <c r="AP23" s="25"/>
      <c r="AQ23" s="25"/>
      <c r="AR23" s="25"/>
      <c r="AS23" s="26"/>
      <c r="AT23" s="26"/>
      <c r="AU23" s="25"/>
    </row>
    <row r="24" spans="2:47" ht="14.25" x14ac:dyDescent="0.2">
      <c r="E24" s="249" t="s">
        <v>78</v>
      </c>
      <c r="F24" s="249" t="s">
        <v>31</v>
      </c>
      <c r="G24" s="256" t="s">
        <v>75</v>
      </c>
      <c r="H24" s="259">
        <v>33910</v>
      </c>
      <c r="K24" s="2">
        <f>K23/(K23+L23)*100</f>
        <v>36.032144271943558</v>
      </c>
      <c r="L24" s="2">
        <f>L23/(L23+K23)*100</f>
        <v>63.967855728056435</v>
      </c>
      <c r="N24" s="2"/>
      <c r="O24" s="2"/>
      <c r="R24"/>
      <c r="S24" s="25"/>
      <c r="T24" s="27" t="s">
        <v>47</v>
      </c>
      <c r="U24" s="28">
        <f>U16</f>
        <v>2.1748211728422415</v>
      </c>
      <c r="V24" s="27" t="s">
        <v>84</v>
      </c>
      <c r="W24" s="28">
        <f>W20</f>
        <v>16.271461568041236</v>
      </c>
      <c r="X24" s="25" t="s">
        <v>2</v>
      </c>
      <c r="Y24" s="25"/>
      <c r="Z24" s="28">
        <f>U24-W24*U24/100</f>
        <v>1.8209459815295925</v>
      </c>
      <c r="AA24" s="25"/>
      <c r="AB24" s="45"/>
      <c r="AC24" s="25"/>
      <c r="AD24" s="27" t="s">
        <v>47</v>
      </c>
      <c r="AE24" s="28">
        <f>AE16</f>
        <v>2.3886847020806616</v>
      </c>
      <c r="AF24" s="27" t="s">
        <v>84</v>
      </c>
      <c r="AG24" s="28">
        <f>AG20</f>
        <v>39.106517504029995</v>
      </c>
      <c r="AH24" s="25" t="s">
        <v>2</v>
      </c>
      <c r="AI24" s="25"/>
      <c r="AJ24" s="28">
        <f>AE24-AG24*AE24/100</f>
        <v>1.4545533009454008</v>
      </c>
      <c r="AK24" s="25"/>
      <c r="AM24" s="25"/>
      <c r="AN24" s="27" t="s">
        <v>47</v>
      </c>
      <c r="AO24" s="28">
        <f>AO16</f>
        <v>2.6235787462457587</v>
      </c>
      <c r="AP24" s="27" t="s">
        <v>84</v>
      </c>
      <c r="AQ24" s="28">
        <f>AQ20</f>
        <v>39.106517504029995</v>
      </c>
      <c r="AR24" s="25" t="s">
        <v>2</v>
      </c>
      <c r="AS24" s="25"/>
      <c r="AT24" s="28">
        <f>AO24-AQ24*AO24/100</f>
        <v>1.5975884646131504</v>
      </c>
      <c r="AU24" s="25"/>
    </row>
    <row r="25" spans="2:47" ht="15" thickBot="1" x14ac:dyDescent="0.25">
      <c r="B25" s="79" t="str">
        <f>'option 3.3 limiting landfill'!B25</f>
        <v>consumer (MSW)</v>
      </c>
      <c r="C25" s="11">
        <f>P27/100</f>
        <v>0.64292854122969278</v>
      </c>
      <c r="D25" s="79"/>
      <c r="E25" s="249" t="s">
        <v>78</v>
      </c>
      <c r="F25" s="249" t="s">
        <v>31</v>
      </c>
      <c r="G25" s="256" t="s">
        <v>8</v>
      </c>
      <c r="H25" s="260">
        <v>17522</v>
      </c>
      <c r="I25" s="80"/>
      <c r="J25" s="80"/>
      <c r="K25" s="80"/>
      <c r="L25" s="79"/>
      <c r="R25"/>
      <c r="S25" s="25"/>
      <c r="T25" s="25"/>
      <c r="U25" s="26"/>
      <c r="V25" s="25"/>
      <c r="W25" s="25"/>
      <c r="X25" s="25"/>
      <c r="Y25" s="26"/>
      <c r="Z25" s="26"/>
      <c r="AA25" s="25"/>
      <c r="AB25" s="45"/>
      <c r="AC25" s="25"/>
      <c r="AD25" s="25"/>
      <c r="AE25" s="26"/>
      <c r="AF25" s="25"/>
      <c r="AG25" s="25"/>
      <c r="AH25" s="25"/>
      <c r="AI25" s="26"/>
      <c r="AJ25" s="26"/>
      <c r="AK25" s="25"/>
      <c r="AM25" s="25"/>
      <c r="AN25" s="25"/>
      <c r="AO25" s="26"/>
      <c r="AP25" s="25"/>
      <c r="AQ25" s="25"/>
      <c r="AR25" s="25"/>
      <c r="AS25" s="26"/>
      <c r="AT25" s="26"/>
      <c r="AU25" s="25"/>
    </row>
    <row r="26" spans="2:47" ht="13.5" thickTop="1" x14ac:dyDescent="0.2">
      <c r="B26" s="79" t="str">
        <f>'option 3.3 limiting landfill'!B26</f>
        <v>industrial</v>
      </c>
      <c r="C26" s="11">
        <f>Q27/100</f>
        <v>0.35707145877030722</v>
      </c>
      <c r="D26" s="79"/>
      <c r="E26" s="11"/>
      <c r="F26" s="11"/>
      <c r="G26" s="82"/>
      <c r="H26" s="11"/>
      <c r="I26" s="11"/>
      <c r="J26" s="11"/>
      <c r="K26" s="11"/>
      <c r="L26" s="79"/>
      <c r="N26" t="str">
        <f>N13</f>
        <v>consumer</v>
      </c>
      <c r="O26" t="str">
        <f t="shared" ref="O26:Q26" si="0">O13</f>
        <v>professional</v>
      </c>
      <c r="P26" t="str">
        <f t="shared" si="0"/>
        <v>consumer</v>
      </c>
      <c r="Q26" t="str">
        <f t="shared" si="0"/>
        <v>professional</v>
      </c>
      <c r="R26" s="11"/>
      <c r="S26" s="25"/>
      <c r="T26" s="27" t="s">
        <v>91</v>
      </c>
      <c r="U26" s="28">
        <f>U12-U16</f>
        <v>37.043627762873015</v>
      </c>
      <c r="V26" s="27" t="s">
        <v>84</v>
      </c>
      <c r="W26" s="28">
        <v>0</v>
      </c>
      <c r="X26" s="25" t="s">
        <v>2</v>
      </c>
      <c r="Y26" s="26"/>
      <c r="Z26" s="28">
        <f t="shared" ref="Z26" si="1">U26-W26*U26/100</f>
        <v>37.043627762873015</v>
      </c>
      <c r="AA26" s="25"/>
      <c r="AB26" s="45"/>
      <c r="AC26" s="25"/>
      <c r="AD26" s="27" t="s">
        <v>91</v>
      </c>
      <c r="AE26" s="28">
        <f>AE12-AE16</f>
        <v>40.68635529748169</v>
      </c>
      <c r="AF26" s="27" t="s">
        <v>84</v>
      </c>
      <c r="AG26" s="28">
        <v>0</v>
      </c>
      <c r="AH26" s="25" t="s">
        <v>2</v>
      </c>
      <c r="AI26" s="26"/>
      <c r="AJ26" s="28">
        <f t="shared" ref="AJ26" si="2">AE26-AG26*AE26/100</f>
        <v>40.68635529748169</v>
      </c>
      <c r="AK26" s="25"/>
      <c r="AM26" s="25"/>
      <c r="AN26" s="27" t="s">
        <v>91</v>
      </c>
      <c r="AO26" s="28">
        <f>AO12-AO16</f>
        <v>44.687294613515689</v>
      </c>
      <c r="AP26" s="27" t="s">
        <v>84</v>
      </c>
      <c r="AQ26" s="28">
        <v>0</v>
      </c>
      <c r="AR26" s="25" t="s">
        <v>2</v>
      </c>
      <c r="AS26" s="26"/>
      <c r="AT26" s="28">
        <f t="shared" ref="AT26" si="3">AO26-AQ26*AO26/100</f>
        <v>44.687294613515689</v>
      </c>
      <c r="AU26" s="25"/>
    </row>
    <row r="27" spans="2:47" x14ac:dyDescent="0.2">
      <c r="B27" s="81"/>
      <c r="C27" s="11"/>
      <c r="D27" s="11"/>
      <c r="E27" s="11"/>
      <c r="F27" s="11"/>
      <c r="G27" s="82"/>
      <c r="H27" s="11"/>
      <c r="I27" s="11"/>
      <c r="J27" s="11" t="s">
        <v>13</v>
      </c>
      <c r="K27" s="11"/>
      <c r="L27" s="79"/>
      <c r="M27" s="79" t="s">
        <v>143</v>
      </c>
      <c r="N27" s="240">
        <f>SUM(P14:P23)</f>
        <v>119483477.48276696</v>
      </c>
      <c r="O27" s="240">
        <f>SUM(Q14:Q23)</f>
        <v>66359069.270932473</v>
      </c>
      <c r="P27" s="254">
        <f>N27/(N27+O27)*100</f>
        <v>64.292854122969274</v>
      </c>
      <c r="Q27" s="255">
        <f>O27/(N27+O27)*100</f>
        <v>35.707145877030719</v>
      </c>
      <c r="R27" s="11"/>
      <c r="S27" s="25"/>
      <c r="T27" s="27"/>
      <c r="U27" s="26"/>
      <c r="V27" s="27"/>
      <c r="W27" s="28"/>
      <c r="X27" s="25"/>
      <c r="Y27" s="26"/>
      <c r="Z27" s="44"/>
      <c r="AA27" s="25"/>
      <c r="AB27" s="45"/>
      <c r="AC27" s="25"/>
      <c r="AD27" s="27"/>
      <c r="AE27" s="26"/>
      <c r="AF27" s="27"/>
      <c r="AG27" s="28"/>
      <c r="AH27" s="25"/>
      <c r="AI27" s="26"/>
      <c r="AJ27" s="44"/>
      <c r="AK27" s="25"/>
      <c r="AM27" s="25"/>
      <c r="AN27" s="27"/>
      <c r="AO27" s="26"/>
      <c r="AP27" s="27"/>
      <c r="AQ27" s="28"/>
      <c r="AR27" s="25"/>
      <c r="AS27" s="26"/>
      <c r="AT27" s="44"/>
      <c r="AU27" s="25"/>
    </row>
    <row r="28" spans="2:47" x14ac:dyDescent="0.2">
      <c r="B28" s="81"/>
      <c r="C28" s="11"/>
      <c r="D28" s="11"/>
      <c r="E28" s="11"/>
      <c r="F28" s="11"/>
      <c r="G28" s="82"/>
      <c r="H28" s="251"/>
      <c r="I28" s="251"/>
      <c r="J28" s="251"/>
      <c r="K28" s="251"/>
      <c r="L28" s="79"/>
      <c r="M28" s="11"/>
      <c r="N28" s="11"/>
      <c r="O28" s="11"/>
      <c r="P28" s="11"/>
      <c r="Q28" s="11"/>
      <c r="R28"/>
      <c r="S28" s="25"/>
      <c r="T28" s="25"/>
      <c r="U28" s="26" t="s">
        <v>143</v>
      </c>
      <c r="V28" s="27" t="s">
        <v>234</v>
      </c>
      <c r="W28" s="25"/>
      <c r="X28" s="42"/>
      <c r="Y28" s="26"/>
      <c r="Z28" s="26" t="s">
        <v>144</v>
      </c>
      <c r="AA28" s="25"/>
      <c r="AB28" s="45"/>
      <c r="AC28" s="25"/>
      <c r="AD28" s="25"/>
      <c r="AE28" s="26" t="s">
        <v>143</v>
      </c>
      <c r="AF28" s="27" t="s">
        <v>234</v>
      </c>
      <c r="AG28" s="25"/>
      <c r="AH28" s="42"/>
      <c r="AI28" s="26"/>
      <c r="AJ28" s="26" t="s">
        <v>144</v>
      </c>
      <c r="AK28" s="25"/>
      <c r="AM28" s="25"/>
      <c r="AN28" s="25"/>
      <c r="AO28" s="26" t="s">
        <v>143</v>
      </c>
      <c r="AP28" s="27" t="s">
        <v>234</v>
      </c>
      <c r="AQ28" s="25"/>
      <c r="AR28" s="42"/>
      <c r="AS28" s="26"/>
      <c r="AT28" s="26" t="s">
        <v>144</v>
      </c>
      <c r="AU28" s="25"/>
    </row>
    <row r="29" spans="2:47" x14ac:dyDescent="0.2">
      <c r="B29" s="82"/>
      <c r="C29" s="82"/>
      <c r="D29" s="82"/>
      <c r="E29" s="82"/>
      <c r="F29" s="82"/>
      <c r="G29" s="82"/>
      <c r="H29" s="11"/>
      <c r="I29" s="11"/>
      <c r="J29" s="11"/>
      <c r="K29" s="11"/>
      <c r="L29" s="79"/>
      <c r="M29" s="11"/>
      <c r="R29" s="3"/>
      <c r="S29" s="25"/>
      <c r="T29" s="27" t="s">
        <v>42</v>
      </c>
      <c r="U29" s="28">
        <f>U22</f>
        <v>7.2260056753884214</v>
      </c>
      <c r="V29" s="225">
        <f>D96</f>
        <v>0</v>
      </c>
      <c r="W29" s="26"/>
      <c r="X29" s="26"/>
      <c r="Y29" s="26"/>
      <c r="Z29" s="28">
        <f>U29*V29</f>
        <v>0</v>
      </c>
      <c r="AA29" s="25"/>
      <c r="AB29" s="45"/>
      <c r="AC29" s="25"/>
      <c r="AD29" s="27" t="s">
        <v>42</v>
      </c>
      <c r="AE29" s="28">
        <f>AE22</f>
        <v>7.3864962011108304</v>
      </c>
      <c r="AF29" s="225">
        <f>E96</f>
        <v>-1.1707738385384444E-2</v>
      </c>
      <c r="AG29" s="25"/>
      <c r="AH29" s="26"/>
      <c r="AI29" s="26"/>
      <c r="AJ29" s="28">
        <f>AE29*AF29</f>
        <v>-8.6479165107241643E-2</v>
      </c>
      <c r="AK29" s="25"/>
      <c r="AM29" s="25"/>
      <c r="AN29" s="27" t="s">
        <v>42</v>
      </c>
      <c r="AO29" s="28">
        <f>AO22</f>
        <v>7.493489884925765</v>
      </c>
      <c r="AP29" s="225">
        <f>F96</f>
        <v>-1.897840370057971E-2</v>
      </c>
      <c r="AQ29" s="28"/>
      <c r="AR29" s="26"/>
      <c r="AS29" s="26"/>
      <c r="AT29" s="28">
        <f>AO29*AP29</f>
        <v>-0.14221447616233177</v>
      </c>
      <c r="AU29" s="25"/>
    </row>
    <row r="30" spans="2:47" x14ac:dyDescent="0.2">
      <c r="M30" s="11"/>
      <c r="R30"/>
      <c r="S30" s="25"/>
      <c r="T30" s="27" t="s">
        <v>38</v>
      </c>
      <c r="U30" s="28">
        <f>U20</f>
        <v>58.929736654050473</v>
      </c>
      <c r="V30" s="225">
        <f>D97</f>
        <v>0</v>
      </c>
      <c r="W30" s="26"/>
      <c r="X30" s="25"/>
      <c r="Y30" s="25"/>
      <c r="Z30" s="28">
        <f t="shared" ref="Z30" si="4">U30*V30</f>
        <v>0</v>
      </c>
      <c r="AA30" s="25"/>
      <c r="AB30" s="45"/>
      <c r="AC30" s="25"/>
      <c r="AD30" s="27" t="s">
        <v>38</v>
      </c>
      <c r="AE30" s="28">
        <f>AE20</f>
        <v>60.238573768378245</v>
      </c>
      <c r="AF30" s="225">
        <f>E97</f>
        <v>-1.1707738385384444E-2</v>
      </c>
      <c r="AG30" s="25"/>
      <c r="AH30" s="25"/>
      <c r="AI30" s="25"/>
      <c r="AJ30" s="28">
        <f t="shared" ref="AJ30" si="5">AE30*AF30</f>
        <v>-0.70525746238885445</v>
      </c>
      <c r="AK30" s="25"/>
      <c r="AM30" s="25"/>
      <c r="AN30" s="27" t="s">
        <v>38</v>
      </c>
      <c r="AO30" s="28">
        <f>AO20</f>
        <v>61.111131844596756</v>
      </c>
      <c r="AP30" s="225">
        <f>F97</f>
        <v>-1.897840370057971E-2</v>
      </c>
      <c r="AQ30" s="25"/>
      <c r="AR30" s="25"/>
      <c r="AS30" s="25"/>
      <c r="AT30" s="28">
        <f t="shared" ref="AT30" si="6">AO30*AP30</f>
        <v>-1.1597917307461096</v>
      </c>
      <c r="AU30" s="25"/>
    </row>
    <row r="31" spans="2:47" ht="13.5" thickBot="1" x14ac:dyDescent="0.25">
      <c r="M31" s="75"/>
      <c r="R31"/>
      <c r="S31" s="25"/>
      <c r="T31" s="25"/>
      <c r="U31" s="25"/>
      <c r="V31" s="25"/>
      <c r="W31" s="25"/>
      <c r="X31" s="25"/>
      <c r="Y31" s="25"/>
      <c r="Z31" s="25"/>
      <c r="AA31" s="25"/>
      <c r="AC31" s="25"/>
      <c r="AD31" s="25"/>
      <c r="AE31" s="25"/>
      <c r="AF31" s="25"/>
      <c r="AG31" s="25"/>
      <c r="AH31" s="25"/>
      <c r="AI31" s="25"/>
      <c r="AJ31" s="25"/>
      <c r="AK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2:47" ht="13.5" thickBot="1" x14ac:dyDescent="0.25">
      <c r="N32" s="11" t="str">
        <f>'option 3.4 combination'!L90</f>
        <v>EU averages are weighed, based on:</v>
      </c>
      <c r="O32" s="11"/>
      <c r="P32" s="11"/>
      <c r="Q32" s="11"/>
      <c r="R32"/>
      <c r="S32" s="25"/>
      <c r="T32" s="25"/>
      <c r="U32" s="25"/>
      <c r="V32" s="25"/>
      <c r="W32" s="25"/>
      <c r="X32" s="30"/>
      <c r="Y32" s="31" t="s">
        <v>21</v>
      </c>
      <c r="Z32" s="122">
        <f>SUM(Z18:Z30)</f>
        <v>87.799796599230334</v>
      </c>
      <c r="AA32" s="25"/>
      <c r="AC32" s="25"/>
      <c r="AD32" s="25"/>
      <c r="AE32" s="25"/>
      <c r="AF32" s="25"/>
      <c r="AG32" s="25"/>
      <c r="AH32" s="30"/>
      <c r="AI32" s="31" t="s">
        <v>193</v>
      </c>
      <c r="AJ32" s="122">
        <f>SUM(AJ18:AJ30)</f>
        <v>82.732507961123261</v>
      </c>
      <c r="AK32" s="25"/>
      <c r="AM32" s="25"/>
      <c r="AN32" s="25"/>
      <c r="AO32" s="25"/>
      <c r="AP32" s="25"/>
      <c r="AQ32" s="25"/>
      <c r="AR32" s="30"/>
      <c r="AS32" s="31" t="s">
        <v>148</v>
      </c>
      <c r="AT32" s="122">
        <f>SUM(AT18:AT30)</f>
        <v>86.965652087479825</v>
      </c>
      <c r="AU32" s="25"/>
    </row>
    <row r="33" spans="2:47" x14ac:dyDescent="0.2">
      <c r="N33" s="11"/>
      <c r="O33" s="11" t="str">
        <f>'option 3.4 combination'!M91</f>
        <v>km</v>
      </c>
      <c r="R33"/>
      <c r="S33" s="25"/>
      <c r="T33" s="25"/>
      <c r="U33" s="25"/>
      <c r="V33" s="25"/>
      <c r="W33" s="25"/>
      <c r="X33" s="25"/>
      <c r="Y33" s="25"/>
      <c r="Z33" s="25"/>
      <c r="AA33" s="25"/>
      <c r="AC33" s="25"/>
      <c r="AD33" s="25"/>
      <c r="AE33" s="25"/>
      <c r="AF33" s="25"/>
      <c r="AG33" s="25"/>
      <c r="AH33" s="25"/>
      <c r="AI33" s="25"/>
      <c r="AJ33" s="25"/>
      <c r="AK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2:47" ht="13.5" thickBot="1" x14ac:dyDescent="0.25">
      <c r="B34" s="84" t="s">
        <v>264</v>
      </c>
      <c r="C34" s="53"/>
      <c r="D34">
        <v>2012</v>
      </c>
      <c r="E34" s="10">
        <f>'option 3.4 combination'!D44</f>
        <v>7.1411729039646969</v>
      </c>
      <c r="F34" t="s">
        <v>2</v>
      </c>
      <c r="N34" s="11"/>
      <c r="O34" s="11"/>
      <c r="P34" s="11" t="str">
        <f>'option 3.4 combination'!N92</f>
        <v>Share of coastline</v>
      </c>
      <c r="Q34" s="11" t="str">
        <f>'option 3.4 combination'!O92</f>
        <v># of surveys</v>
      </c>
      <c r="R34"/>
      <c r="S34" s="25"/>
      <c r="T34" s="25"/>
      <c r="U34" s="25"/>
      <c r="V34" s="25"/>
      <c r="W34" s="25"/>
      <c r="X34" s="25"/>
      <c r="Y34" s="25"/>
      <c r="Z34" s="25"/>
      <c r="AA34" s="25"/>
      <c r="AC34" s="25"/>
      <c r="AD34" s="25"/>
      <c r="AE34" s="25"/>
      <c r="AF34" s="25"/>
      <c r="AG34" s="25"/>
      <c r="AH34" s="25"/>
      <c r="AI34" s="25"/>
      <c r="AJ34" s="25"/>
      <c r="AK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2:47" ht="13.5" thickBot="1" x14ac:dyDescent="0.25">
      <c r="D35">
        <v>2020</v>
      </c>
      <c r="E35" s="34">
        <f>'option 3.4 combination'!E44</f>
        <v>31.312577896048779</v>
      </c>
      <c r="F35" t="s">
        <v>2</v>
      </c>
      <c r="G35" t="s">
        <v>265</v>
      </c>
      <c r="N35" s="253" t="str">
        <f>'option 3.4 combination'!L93</f>
        <v>Baltic Sea</v>
      </c>
      <c r="O35" s="252">
        <f>'option 3.4 combination'!M93</f>
        <v>13080</v>
      </c>
      <c r="P35" s="11">
        <f>'option 3.4 combination'!N93</f>
        <v>0.26286173633440513</v>
      </c>
      <c r="Q35" s="80">
        <f>'option 3.4 combination'!O93</f>
        <v>152</v>
      </c>
      <c r="R35"/>
      <c r="S35" s="25"/>
      <c r="T35" s="25"/>
      <c r="U35" s="25"/>
      <c r="V35" s="25"/>
      <c r="W35" s="25"/>
      <c r="X35" s="30" t="s">
        <v>99</v>
      </c>
      <c r="Y35" s="32"/>
      <c r="Z35" s="35">
        <f>100-Z32</f>
        <v>12.200203400769666</v>
      </c>
      <c r="AA35" s="33" t="s">
        <v>2</v>
      </c>
      <c r="AC35" s="25"/>
      <c r="AD35" s="25"/>
      <c r="AE35" s="25"/>
      <c r="AF35" s="25"/>
      <c r="AG35" s="25"/>
      <c r="AH35" s="30" t="s">
        <v>99</v>
      </c>
      <c r="AI35" s="32"/>
      <c r="AJ35" s="35">
        <f>100-AJ32</f>
        <v>17.267492038876739</v>
      </c>
      <c r="AK35" s="33" t="s">
        <v>2</v>
      </c>
      <c r="AM35" s="25"/>
      <c r="AN35" s="25"/>
      <c r="AO35" s="25"/>
      <c r="AP35" s="25"/>
      <c r="AQ35" s="25"/>
      <c r="AR35" s="30" t="s">
        <v>99</v>
      </c>
      <c r="AS35" s="32"/>
      <c r="AT35" s="35">
        <f>100-AT32</f>
        <v>13.034347912520175</v>
      </c>
      <c r="AU35" s="33" t="s">
        <v>2</v>
      </c>
    </row>
    <row r="36" spans="2:47" x14ac:dyDescent="0.2">
      <c r="D36">
        <v>2025</v>
      </c>
      <c r="E36" s="34">
        <f>'option 3.4 combination'!F44</f>
        <v>40.889500972971859</v>
      </c>
      <c r="F36" t="s">
        <v>2</v>
      </c>
      <c r="G36" t="s">
        <v>265</v>
      </c>
      <c r="N36" s="253" t="str">
        <f>'option 3.4 combination'!L94</f>
        <v>Mediterranean Sea</v>
      </c>
      <c r="O36" s="252">
        <f>'option 3.4 combination'!M94</f>
        <v>16164</v>
      </c>
      <c r="P36" s="11">
        <f>'option 3.4 combination'!N94</f>
        <v>0.32483922829581996</v>
      </c>
      <c r="Q36" s="80">
        <f>'option 3.4 combination'!O94</f>
        <v>33</v>
      </c>
      <c r="R36"/>
      <c r="S36" s="25"/>
      <c r="T36" s="25"/>
      <c r="U36" s="25"/>
      <c r="V36" s="25"/>
      <c r="W36" s="25"/>
      <c r="X36" s="25"/>
      <c r="Y36" s="25"/>
      <c r="Z36" s="25"/>
      <c r="AA36" s="25"/>
      <c r="AC36" s="25"/>
      <c r="AD36" s="25"/>
      <c r="AE36" s="25"/>
      <c r="AF36" s="25"/>
      <c r="AG36" s="25"/>
      <c r="AH36" s="25"/>
      <c r="AI36" s="25"/>
      <c r="AJ36" s="25"/>
      <c r="AK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2:47" x14ac:dyDescent="0.2">
      <c r="C37" s="9"/>
      <c r="D37">
        <v>2030</v>
      </c>
      <c r="E37" s="34">
        <f>'option 3.4 combination'!G44</f>
        <v>40.889500972971859</v>
      </c>
      <c r="F37" t="s">
        <v>2</v>
      </c>
      <c r="G37" t="s">
        <v>265</v>
      </c>
      <c r="N37" s="253" t="str">
        <f>'option 3.4 combination'!L95</f>
        <v>North Sea</v>
      </c>
      <c r="O37" s="252">
        <f>'option 3.4 combination'!M95</f>
        <v>19885</v>
      </c>
      <c r="P37" s="11">
        <f>'option 3.4 combination'!N95</f>
        <v>0.39961816720257237</v>
      </c>
      <c r="Q37" s="80">
        <f>'option 3.4 combination'!O95</f>
        <v>151</v>
      </c>
      <c r="R37"/>
    </row>
    <row r="38" spans="2:47" x14ac:dyDescent="0.2">
      <c r="E38" s="34"/>
      <c r="N38" s="253" t="str">
        <f>'option 3.4 combination'!L96</f>
        <v>Black Sea</v>
      </c>
      <c r="O38" s="252">
        <f>'option 3.4 combination'!M96</f>
        <v>631</v>
      </c>
      <c r="P38" s="11">
        <f>'option 3.4 combination'!N96</f>
        <v>1.2680868167202573E-2</v>
      </c>
      <c r="Q38" s="80">
        <f>'option 3.4 combination'!O96</f>
        <v>7</v>
      </c>
      <c r="R38"/>
    </row>
    <row r="39" spans="2:47" x14ac:dyDescent="0.2">
      <c r="E39" s="34"/>
      <c r="N39" s="253" t="str">
        <f>'option 3.4 combination'!L97</f>
        <v>Total coast line</v>
      </c>
      <c r="O39" s="252">
        <f>'option 3.4 combination'!M97</f>
        <v>49760</v>
      </c>
      <c r="P39" s="11">
        <f>'option 3.4 combination'!N97</f>
        <v>1</v>
      </c>
      <c r="Q39" s="80">
        <f>'option 3.4 combination'!O97</f>
        <v>0</v>
      </c>
      <c r="R39"/>
    </row>
    <row r="40" spans="2:47" x14ac:dyDescent="0.2">
      <c r="E40" s="34"/>
      <c r="R40"/>
    </row>
    <row r="41" spans="2:47" x14ac:dyDescent="0.2">
      <c r="E41" s="10"/>
      <c r="R41"/>
    </row>
    <row r="42" spans="2:47" x14ac:dyDescent="0.2">
      <c r="D42">
        <v>2012</v>
      </c>
      <c r="E42">
        <v>2020</v>
      </c>
      <c r="F42">
        <v>2025</v>
      </c>
      <c r="G42">
        <v>2030</v>
      </c>
      <c r="R42"/>
    </row>
    <row r="43" spans="2:47" x14ac:dyDescent="0.2">
      <c r="B43" t="s">
        <v>23</v>
      </c>
      <c r="E43" s="10"/>
      <c r="R43"/>
    </row>
    <row r="44" spans="2:47" x14ac:dyDescent="0.2">
      <c r="C44" t="s">
        <v>94</v>
      </c>
      <c r="D44" s="10">
        <f>100-E34</f>
        <v>92.858827096035299</v>
      </c>
      <c r="E44" s="10">
        <f>100-E35</f>
        <v>68.687422103951221</v>
      </c>
      <c r="F44" s="10">
        <f>100-E36</f>
        <v>59.110499027028141</v>
      </c>
      <c r="G44" s="10">
        <f>100-E37</f>
        <v>59.110499027028141</v>
      </c>
      <c r="R44"/>
    </row>
    <row r="45" spans="2:47" x14ac:dyDescent="0.2">
      <c r="E45" s="10"/>
      <c r="F45" s="10"/>
      <c r="G45" s="134"/>
      <c r="R45"/>
    </row>
    <row r="46" spans="2:47" x14ac:dyDescent="0.2">
      <c r="E46" s="10"/>
      <c r="F46" s="10"/>
      <c r="G46" s="134"/>
      <c r="R46"/>
    </row>
    <row r="47" spans="2:47" x14ac:dyDescent="0.2">
      <c r="B47" t="s">
        <v>210</v>
      </c>
      <c r="D47" s="315">
        <v>2020</v>
      </c>
      <c r="E47" s="315"/>
      <c r="F47" s="315"/>
      <c r="G47" s="315">
        <v>2025</v>
      </c>
      <c r="H47" s="315"/>
      <c r="I47" s="315"/>
      <c r="J47" s="315">
        <v>2030</v>
      </c>
      <c r="K47" s="315"/>
      <c r="L47" s="315"/>
      <c r="R47"/>
    </row>
    <row r="48" spans="2:47" x14ac:dyDescent="0.2">
      <c r="D48" s="199" t="s">
        <v>24</v>
      </c>
      <c r="E48" s="199" t="s">
        <v>66</v>
      </c>
      <c r="F48" s="199"/>
      <c r="G48" s="199" t="str">
        <f>D48</f>
        <v>decrease</v>
      </c>
      <c r="H48" s="261" t="str">
        <f>E48</f>
        <v>decrease %</v>
      </c>
      <c r="I48" s="199"/>
      <c r="J48" s="199" t="str">
        <f>D48</f>
        <v>decrease</v>
      </c>
      <c r="K48" s="261" t="str">
        <f>E48</f>
        <v>decrease %</v>
      </c>
      <c r="L48" s="199"/>
      <c r="R48"/>
    </row>
    <row r="49" spans="2:18" x14ac:dyDescent="0.2">
      <c r="B49" s="10"/>
      <c r="C49" s="134" t="str">
        <f>C44</f>
        <v>plastics</v>
      </c>
      <c r="D49" s="10">
        <f>D44-E44</f>
        <v>24.171404992084078</v>
      </c>
      <c r="E49" s="147">
        <f>D49/D44*100</f>
        <v>26.030271701672291</v>
      </c>
      <c r="F49" t="s">
        <v>2</v>
      </c>
      <c r="G49" s="10">
        <f>D44-F44</f>
        <v>33.748328069007158</v>
      </c>
      <c r="H49" s="147">
        <f>G49/D44*100</f>
        <v>36.343694104712718</v>
      </c>
      <c r="I49" t="s">
        <v>2</v>
      </c>
      <c r="J49" s="10">
        <f>D44-G44</f>
        <v>33.748328069007158</v>
      </c>
      <c r="K49" s="147">
        <f>J49/D44*100</f>
        <v>36.343694104712718</v>
      </c>
      <c r="L49" t="s">
        <v>2</v>
      </c>
      <c r="R49"/>
    </row>
    <row r="50" spans="2:18" x14ac:dyDescent="0.2">
      <c r="C50" s="134"/>
      <c r="D50" s="10"/>
      <c r="G50" s="1"/>
      <c r="H50" s="134"/>
      <c r="I50" s="79"/>
      <c r="J50" s="79"/>
      <c r="K50" s="79"/>
      <c r="L50" s="79"/>
      <c r="R50"/>
    </row>
    <row r="51" spans="2:18" x14ac:dyDescent="0.2">
      <c r="E51" s="10"/>
      <c r="R51"/>
    </row>
    <row r="52" spans="2:18" x14ac:dyDescent="0.2">
      <c r="B52" s="84" t="s">
        <v>272</v>
      </c>
      <c r="C52" s="53"/>
      <c r="H52" s="1" t="s">
        <v>266</v>
      </c>
      <c r="J52" t="s">
        <v>267</v>
      </c>
      <c r="R52"/>
    </row>
    <row r="53" spans="2:18" ht="13.5" thickBot="1" x14ac:dyDescent="0.25">
      <c r="D53" t="s">
        <v>32</v>
      </c>
      <c r="E53" t="s">
        <v>33</v>
      </c>
      <c r="F53" t="str">
        <f t="shared" ref="F53:K53" si="7">D53</f>
        <v>packaging</v>
      </c>
      <c r="G53" t="str">
        <f t="shared" si="7"/>
        <v>non packaging</v>
      </c>
      <c r="H53" s="1" t="str">
        <f t="shared" si="7"/>
        <v>packaging</v>
      </c>
      <c r="I53" t="str">
        <f t="shared" si="7"/>
        <v>non packaging</v>
      </c>
      <c r="J53" s="1" t="str">
        <f t="shared" si="7"/>
        <v>packaging</v>
      </c>
      <c r="K53" t="str">
        <f t="shared" si="7"/>
        <v>non packaging</v>
      </c>
      <c r="R53"/>
    </row>
    <row r="54" spans="2:18" ht="13.5" thickTop="1" x14ac:dyDescent="0.2">
      <c r="B54" t="s">
        <v>31</v>
      </c>
      <c r="C54" t="s">
        <v>7</v>
      </c>
      <c r="D54" s="262">
        <v>2183</v>
      </c>
      <c r="E54" s="140">
        <v>31727</v>
      </c>
      <c r="F54" s="1">
        <f>D54+D56*(D54/(D54+D55))</f>
        <v>2244.7453338212999</v>
      </c>
      <c r="G54" s="1">
        <f>E54+E56*(E54/(E54+E55))</f>
        <v>47627.017323810651</v>
      </c>
      <c r="H54" s="1">
        <f>F54/$Q$37</f>
        <v>14.865863137889404</v>
      </c>
      <c r="I54" s="1">
        <f>G54/$Q$37</f>
        <v>315.41071075371292</v>
      </c>
      <c r="J54" s="252">
        <f>H54*10*$O$37</f>
        <v>2956076.8849693076</v>
      </c>
      <c r="K54" s="252">
        <f>I54*10*$O$37</f>
        <v>62719419.833375812</v>
      </c>
      <c r="N54" s="10"/>
      <c r="R54"/>
    </row>
    <row r="55" spans="2:18" x14ac:dyDescent="0.2">
      <c r="B55" t="s">
        <v>31</v>
      </c>
      <c r="C55" t="s">
        <v>34</v>
      </c>
      <c r="D55" s="263">
        <v>16944</v>
      </c>
      <c r="E55" s="142">
        <v>2157</v>
      </c>
      <c r="F55" s="1">
        <f>D55+D56*(D55/(D55+D54))</f>
        <v>17423.254666178702</v>
      </c>
      <c r="G55" s="1">
        <f>E55+E56*(E55/(E55+E54))</f>
        <v>3237.9826761893519</v>
      </c>
      <c r="H55" s="1">
        <f>F55/$Q$37</f>
        <v>115.38579249124969</v>
      </c>
      <c r="I55" s="1">
        <f>G55/$Q$37</f>
        <v>21.443593882048688</v>
      </c>
      <c r="J55" s="252">
        <f>H55*10*$O$37</f>
        <v>22944464.836885002</v>
      </c>
      <c r="K55" s="252">
        <f>I55*10*$O$37</f>
        <v>4264058.6434453819</v>
      </c>
      <c r="N55" s="10"/>
      <c r="R55"/>
    </row>
    <row r="56" spans="2:18" x14ac:dyDescent="0.2">
      <c r="B56" t="s">
        <v>31</v>
      </c>
      <c r="C56" t="s">
        <v>8</v>
      </c>
      <c r="D56" s="263">
        <v>541</v>
      </c>
      <c r="E56" s="142">
        <v>16981</v>
      </c>
      <c r="N56" s="10"/>
      <c r="R56"/>
    </row>
    <row r="57" spans="2:18" x14ac:dyDescent="0.2">
      <c r="B57" t="s">
        <v>35</v>
      </c>
      <c r="C57" t="s">
        <v>7</v>
      </c>
      <c r="D57" s="263">
        <v>445</v>
      </c>
      <c r="E57" s="142">
        <v>1955</v>
      </c>
      <c r="F57" s="1">
        <f>D57+D59*(D57/(D57+D58))</f>
        <v>463.70402802101574</v>
      </c>
      <c r="G57" s="1">
        <f>E57+E59*(E57/(E57+E58))</f>
        <v>6464.8197802197801</v>
      </c>
      <c r="H57" s="1">
        <f>F57/$Q$35</f>
        <v>3.0506843948751037</v>
      </c>
      <c r="I57" s="1">
        <f>G57/$Q$35</f>
        <v>42.531709080393291</v>
      </c>
      <c r="J57" s="252">
        <f>H57*10*$O$35</f>
        <v>399029.51884966355</v>
      </c>
      <c r="K57" s="252">
        <f>I57*10*$O$35</f>
        <v>5563147.5477154423</v>
      </c>
      <c r="N57" s="10"/>
      <c r="R57"/>
    </row>
    <row r="58" spans="2:18" x14ac:dyDescent="0.2">
      <c r="B58" t="s">
        <v>35</v>
      </c>
      <c r="C58" t="s">
        <v>34</v>
      </c>
      <c r="D58" s="263">
        <v>4123</v>
      </c>
      <c r="E58" s="142">
        <v>320</v>
      </c>
      <c r="F58" s="1">
        <f>D58+D59*(D58/(D58+D57))</f>
        <v>4296.2959719789842</v>
      </c>
      <c r="G58" s="1">
        <f>E58+E59*(E58/(E58+E57))</f>
        <v>1058.1802197802199</v>
      </c>
      <c r="H58" s="1">
        <f>F58/$Q$35</f>
        <v>28.265105078809107</v>
      </c>
      <c r="I58" s="1">
        <f>G58/$Q$35</f>
        <v>6.9617119722382883</v>
      </c>
      <c r="J58" s="252">
        <f>H58*10*$O$35</f>
        <v>3697075.7443082314</v>
      </c>
      <c r="K58" s="252">
        <f>I58*10*$O$35</f>
        <v>910591.92596876808</v>
      </c>
      <c r="N58" s="10"/>
      <c r="R58"/>
    </row>
    <row r="59" spans="2:18" x14ac:dyDescent="0.2">
      <c r="B59" t="s">
        <v>35</v>
      </c>
      <c r="C59" t="s">
        <v>8</v>
      </c>
      <c r="D59" s="263">
        <v>192</v>
      </c>
      <c r="E59" s="142">
        <v>5248</v>
      </c>
      <c r="J59" s="252"/>
      <c r="K59" s="252"/>
      <c r="R59"/>
    </row>
    <row r="60" spans="2:18" x14ac:dyDescent="0.2">
      <c r="B60" t="s">
        <v>36</v>
      </c>
      <c r="C60" t="s">
        <v>7</v>
      </c>
      <c r="D60" s="263">
        <v>0</v>
      </c>
      <c r="E60" s="142">
        <v>85</v>
      </c>
      <c r="F60" s="1">
        <f>D60+D62*(D60/(D60+D61))</f>
        <v>0</v>
      </c>
      <c r="G60" s="1">
        <f>E60+E62*(E60/(E60+E61))</f>
        <v>309.17582417582418</v>
      </c>
      <c r="H60" s="1">
        <f>F60/$Q$38</f>
        <v>0</v>
      </c>
      <c r="I60" s="1">
        <f>G60/$Q$38</f>
        <v>44.167974882260594</v>
      </c>
      <c r="J60" s="252">
        <f>H60*10*$O$38</f>
        <v>0</v>
      </c>
      <c r="K60" s="252">
        <f>I60*10*$O$38</f>
        <v>278699.92150706431</v>
      </c>
      <c r="N60" s="10"/>
      <c r="R60"/>
    </row>
    <row r="61" spans="2:18" x14ac:dyDescent="0.2">
      <c r="B61" t="s">
        <v>36</v>
      </c>
      <c r="C61" t="s">
        <v>34</v>
      </c>
      <c r="D61" s="263">
        <v>2024</v>
      </c>
      <c r="E61" s="142">
        <v>97</v>
      </c>
      <c r="F61" s="1">
        <f>D61+D62*(D61/(D61+D60))</f>
        <v>2040</v>
      </c>
      <c r="G61" s="1">
        <f>E61+E62*(E61/(E61+E60))</f>
        <v>352.82417582417582</v>
      </c>
      <c r="H61" s="1">
        <f>F61/$Q$38</f>
        <v>291.42857142857144</v>
      </c>
      <c r="I61" s="1">
        <f>G61/$Q$38</f>
        <v>50.403453689167975</v>
      </c>
      <c r="J61" s="252">
        <f>H61*10*$O$38</f>
        <v>1838914.2857142859</v>
      </c>
      <c r="K61" s="252">
        <f>I61*10*$O$38</f>
        <v>318045.79277864995</v>
      </c>
      <c r="N61" s="10"/>
      <c r="R61"/>
    </row>
    <row r="62" spans="2:18" x14ac:dyDescent="0.2">
      <c r="B62" t="s">
        <v>36</v>
      </c>
      <c r="C62" t="s">
        <v>8</v>
      </c>
      <c r="D62" s="263">
        <v>16</v>
      </c>
      <c r="E62" s="142">
        <v>480</v>
      </c>
      <c r="J62" s="252"/>
      <c r="K62" s="252"/>
      <c r="N62" s="10"/>
      <c r="R62"/>
    </row>
    <row r="63" spans="2:18" x14ac:dyDescent="0.2">
      <c r="B63" t="s">
        <v>37</v>
      </c>
      <c r="C63" t="s">
        <v>7</v>
      </c>
      <c r="D63" s="263">
        <v>183</v>
      </c>
      <c r="E63" s="142">
        <v>415</v>
      </c>
      <c r="F63" s="1">
        <f>D63+D65*(D63/(D63+D64))</f>
        <v>184.06237168141593</v>
      </c>
      <c r="G63" s="1">
        <f>E63+E65*(E63/(E63+E64))</f>
        <v>804.89459211732355</v>
      </c>
      <c r="H63" s="1">
        <f>F63/$Q$36</f>
        <v>5.5776476267095738</v>
      </c>
      <c r="I63" s="1">
        <f>G63/$Q$36</f>
        <v>24.390745215676471</v>
      </c>
      <c r="J63" s="252">
        <f>H63*10*$O$36</f>
        <v>901570.96238133556</v>
      </c>
      <c r="K63" s="252">
        <f>I63*10*$O$36</f>
        <v>3942520.0566619448</v>
      </c>
      <c r="N63" s="10"/>
      <c r="R63"/>
    </row>
    <row r="64" spans="2:18" x14ac:dyDescent="0.2">
      <c r="B64" t="s">
        <v>37</v>
      </c>
      <c r="C64" t="s">
        <v>34</v>
      </c>
      <c r="D64" s="263">
        <v>13942</v>
      </c>
      <c r="E64" s="142">
        <v>676</v>
      </c>
      <c r="F64" s="1">
        <f>D64+D65*(D64/(D64+D63))</f>
        <v>14022.937628318585</v>
      </c>
      <c r="G64" s="1">
        <f>E64+E65*(E64/(E64+E63))</f>
        <v>1311.1054078826764</v>
      </c>
      <c r="H64" s="1">
        <f>F64/$Q$36</f>
        <v>424.93750388844194</v>
      </c>
      <c r="I64" s="1">
        <f>G64/$Q$36</f>
        <v>39.73046690553565</v>
      </c>
      <c r="J64" s="252">
        <f>H64*10*$O$36</f>
        <v>68686898.128527746</v>
      </c>
      <c r="K64" s="252">
        <f>I64*10*$O$36</f>
        <v>6422032.6706107827</v>
      </c>
      <c r="N64" s="10"/>
      <c r="R64"/>
    </row>
    <row r="65" spans="2:18" ht="13.5" thickBot="1" x14ac:dyDescent="0.25">
      <c r="B65" t="s">
        <v>37</v>
      </c>
      <c r="C65" t="s">
        <v>8</v>
      </c>
      <c r="D65" s="264">
        <v>82</v>
      </c>
      <c r="E65" s="145">
        <v>1025</v>
      </c>
      <c r="G65" s="10"/>
      <c r="R65"/>
    </row>
    <row r="66" spans="2:18" ht="13.5" thickTop="1" x14ac:dyDescent="0.2">
      <c r="N66" s="134"/>
      <c r="R66"/>
    </row>
    <row r="67" spans="2:18" x14ac:dyDescent="0.2">
      <c r="H67" s="1" t="s">
        <v>13</v>
      </c>
      <c r="I67" t="s">
        <v>7</v>
      </c>
      <c r="J67" s="240">
        <f>J54+J57+J60+J63</f>
        <v>4256677.3662003065</v>
      </c>
      <c r="K67" t="s">
        <v>32</v>
      </c>
      <c r="N67" s="134"/>
      <c r="R67"/>
    </row>
    <row r="68" spans="2:18" x14ac:dyDescent="0.2">
      <c r="J68" s="240">
        <f>K54+K57+K60+K63</f>
        <v>72503787.359260261</v>
      </c>
      <c r="K68" t="s">
        <v>33</v>
      </c>
      <c r="R68"/>
    </row>
    <row r="69" spans="2:18" x14ac:dyDescent="0.2">
      <c r="I69" t="s">
        <v>34</v>
      </c>
      <c r="J69" s="240">
        <f>J55+J58+J61+J64</f>
        <v>97167352.995435268</v>
      </c>
      <c r="K69" t="s">
        <v>32</v>
      </c>
      <c r="R69"/>
    </row>
    <row r="70" spans="2:18" x14ac:dyDescent="0.2">
      <c r="J70" s="240">
        <f>K55+K58+K61+K64</f>
        <v>11914729.032803584</v>
      </c>
      <c r="K70" t="s">
        <v>33</v>
      </c>
      <c r="R70"/>
    </row>
    <row r="71" spans="2:18" x14ac:dyDescent="0.2">
      <c r="J71" s="240"/>
      <c r="R71"/>
    </row>
    <row r="72" spans="2:18" x14ac:dyDescent="0.2">
      <c r="H72" s="265" t="str">
        <f>H67</f>
        <v>EU</v>
      </c>
      <c r="I72" s="194" t="str">
        <f>I67</f>
        <v>industrial</v>
      </c>
      <c r="J72" s="266">
        <f>J67/(J67+J68)*100</f>
        <v>5.5454033289462554</v>
      </c>
      <c r="K72" s="194" t="s">
        <v>2</v>
      </c>
      <c r="L72" s="194" t="str">
        <f>K67</f>
        <v>packaging</v>
      </c>
      <c r="M72" s="195"/>
      <c r="R72"/>
    </row>
    <row r="73" spans="2:18" x14ac:dyDescent="0.2">
      <c r="H73" s="267"/>
      <c r="I73" s="79"/>
      <c r="J73" s="268">
        <f>J68/(J68+J67)*100</f>
        <v>94.454596671053736</v>
      </c>
      <c r="K73" s="79" t="s">
        <v>2</v>
      </c>
      <c r="L73" s="79" t="str">
        <f>K68</f>
        <v>non packaging</v>
      </c>
      <c r="M73" s="184"/>
      <c r="R73"/>
    </row>
    <row r="74" spans="2:18" x14ac:dyDescent="0.2">
      <c r="H74" s="267"/>
      <c r="I74" s="79" t="str">
        <f>I69</f>
        <v>consumer</v>
      </c>
      <c r="J74" s="268">
        <f>J69/(J69+J70)*100</f>
        <v>89.077281244302668</v>
      </c>
      <c r="K74" s="79" t="s">
        <v>2</v>
      </c>
      <c r="L74" s="79" t="str">
        <f>K69</f>
        <v>packaging</v>
      </c>
      <c r="M74" s="184"/>
      <c r="R74"/>
    </row>
    <row r="75" spans="2:18" x14ac:dyDescent="0.2">
      <c r="H75" s="269"/>
      <c r="I75" s="181"/>
      <c r="J75" s="270">
        <f>J70/(J70+J69)*100</f>
        <v>10.922718755697323</v>
      </c>
      <c r="K75" s="181" t="s">
        <v>2</v>
      </c>
      <c r="L75" s="181" t="str">
        <f>K70</f>
        <v>non packaging</v>
      </c>
      <c r="M75" s="186"/>
      <c r="R75"/>
    </row>
    <row r="76" spans="2:18" x14ac:dyDescent="0.2">
      <c r="J76" s="240"/>
      <c r="R76"/>
    </row>
    <row r="77" spans="2:18" x14ac:dyDescent="0.2">
      <c r="J77" s="240"/>
      <c r="R77"/>
    </row>
    <row r="78" spans="2:18" x14ac:dyDescent="0.2">
      <c r="H78"/>
      <c r="L78" s="1"/>
      <c r="M78" s="1"/>
      <c r="N78" s="86"/>
      <c r="O78" s="1"/>
      <c r="R78"/>
    </row>
    <row r="79" spans="2:18" x14ac:dyDescent="0.2">
      <c r="L79" s="86"/>
      <c r="M79" s="1"/>
      <c r="N79" s="3"/>
      <c r="O79" s="1"/>
      <c r="R79"/>
    </row>
    <row r="80" spans="2:18" x14ac:dyDescent="0.2">
      <c r="L80" s="86"/>
      <c r="M80" s="1"/>
      <c r="N80" s="3"/>
      <c r="O80" s="1"/>
      <c r="R80"/>
    </row>
    <row r="81" spans="2:18" x14ac:dyDescent="0.2">
      <c r="B81" s="84" t="s">
        <v>85</v>
      </c>
      <c r="C81" s="53"/>
      <c r="D81">
        <v>2012</v>
      </c>
      <c r="E81">
        <v>2020</v>
      </c>
      <c r="F81">
        <v>2025</v>
      </c>
      <c r="G81">
        <v>2030</v>
      </c>
      <c r="L81" s="86"/>
      <c r="M81" s="1"/>
      <c r="N81" s="3"/>
      <c r="O81" s="1"/>
      <c r="R81"/>
    </row>
    <row r="82" spans="2:18" x14ac:dyDescent="0.2">
      <c r="L82" s="86"/>
      <c r="M82" s="1"/>
      <c r="N82" s="3"/>
      <c r="O82" s="1"/>
      <c r="R82"/>
    </row>
    <row r="83" spans="2:18" x14ac:dyDescent="0.2">
      <c r="B83" t="s">
        <v>268</v>
      </c>
      <c r="D83" s="2">
        <f>'option 3.2 modernised pack targ'!D162</f>
        <v>34.3115250426887</v>
      </c>
      <c r="E83" s="55">
        <f>'option 3.2 modernised pack targ'!E162</f>
        <v>45</v>
      </c>
      <c r="F83" s="55">
        <f>'option 3.2 modernised pack targ'!F162</f>
        <v>60</v>
      </c>
      <c r="G83" s="55">
        <f>'option 3.2 modernised pack targ'!G162</f>
        <v>60</v>
      </c>
      <c r="I83" s="1" t="s">
        <v>265</v>
      </c>
      <c r="L83" s="86"/>
      <c r="M83" s="1"/>
      <c r="N83" s="3"/>
      <c r="O83" s="1"/>
    </row>
    <row r="84" spans="2:18" x14ac:dyDescent="0.2">
      <c r="B84" t="s">
        <v>23</v>
      </c>
      <c r="D84" s="2">
        <f>100-D83</f>
        <v>65.6884749573113</v>
      </c>
      <c r="E84" s="2">
        <f t="shared" ref="E84:G84" si="8">100-E83</f>
        <v>55</v>
      </c>
      <c r="F84" s="2">
        <f t="shared" si="8"/>
        <v>40</v>
      </c>
      <c r="G84" s="2">
        <f t="shared" si="8"/>
        <v>40</v>
      </c>
    </row>
    <row r="85" spans="2:18" x14ac:dyDescent="0.2">
      <c r="B85" t="s">
        <v>210</v>
      </c>
      <c r="E85" s="2">
        <f>$D$84-E84</f>
        <v>10.6884749573113</v>
      </c>
      <c r="F85" s="2">
        <f t="shared" ref="F85:G85" si="9">$D$84-F84</f>
        <v>25.6884749573113</v>
      </c>
      <c r="G85" s="2">
        <f t="shared" si="9"/>
        <v>25.6884749573113</v>
      </c>
      <c r="I85" s="79"/>
    </row>
    <row r="86" spans="2:18" x14ac:dyDescent="0.2">
      <c r="I86" s="79"/>
    </row>
    <row r="87" spans="2:18" x14ac:dyDescent="0.2">
      <c r="B87" t="s">
        <v>269</v>
      </c>
      <c r="D87" s="2"/>
      <c r="E87" s="43">
        <f>E85/$D$84*100</f>
        <v>16.271461568041236</v>
      </c>
      <c r="F87" s="43">
        <f>F85/$D$84*100</f>
        <v>39.106517504029995</v>
      </c>
      <c r="G87" s="43">
        <f>G85/$D$84*100</f>
        <v>39.106517504029995</v>
      </c>
      <c r="I87" s="164"/>
    </row>
    <row r="91" spans="2:18" x14ac:dyDescent="0.2">
      <c r="B91" s="84" t="str">
        <f>'option 3.3 limiting landfill'!B292</f>
        <v>reduction due to landfill diversion</v>
      </c>
      <c r="C91" s="84"/>
      <c r="D91" s="84"/>
    </row>
    <row r="92" spans="2:18" x14ac:dyDescent="0.2">
      <c r="B92" t="s">
        <v>239</v>
      </c>
    </row>
    <row r="94" spans="2:18" x14ac:dyDescent="0.2">
      <c r="B94" s="193"/>
      <c r="C94" s="194"/>
      <c r="D94" s="194" t="str">
        <f>'option 3.3 limiting landfill'!O307</f>
        <v>reduction factor to be used</v>
      </c>
      <c r="E94" s="194"/>
      <c r="F94" s="195"/>
      <c r="G94" s="129"/>
      <c r="H94" s="171"/>
      <c r="I94" s="129"/>
    </row>
    <row r="95" spans="2:18" x14ac:dyDescent="0.2">
      <c r="B95" s="183"/>
      <c r="C95" s="79"/>
      <c r="D95" s="79">
        <f>'option 3.3 limiting landfill'!O308</f>
        <v>2020</v>
      </c>
      <c r="E95" s="79">
        <f>'option 3.3 limiting landfill'!P308</f>
        <v>2025</v>
      </c>
      <c r="F95" s="184">
        <f>'option 3.3 limiting landfill'!Q308</f>
        <v>2030</v>
      </c>
      <c r="G95" s="129"/>
      <c r="H95" s="171"/>
      <c r="I95" s="129"/>
    </row>
    <row r="96" spans="2:18" x14ac:dyDescent="0.2">
      <c r="B96" s="183"/>
      <c r="C96" s="81" t="str">
        <f>'option 3.3 limiting landfill'!N309</f>
        <v>MSW plastics</v>
      </c>
      <c r="D96" s="79">
        <f>'option 3.3 limiting landfill'!O309</f>
        <v>0</v>
      </c>
      <c r="E96" s="79">
        <f>'option 3.3 limiting landfill'!P309</f>
        <v>-1.1707738385384444E-2</v>
      </c>
      <c r="F96" s="184">
        <f>'option 3.3 limiting landfill'!Q309</f>
        <v>-1.897840370057971E-2</v>
      </c>
      <c r="G96" s="171"/>
      <c r="H96" s="171"/>
      <c r="I96" s="129"/>
    </row>
    <row r="97" spans="1:14" x14ac:dyDescent="0.2">
      <c r="B97" s="183"/>
      <c r="C97" s="81" t="str">
        <f>'option 3.3 limiting landfill'!N314</f>
        <v>packaging plastics</v>
      </c>
      <c r="D97" s="79">
        <f>'option 3.3 limiting landfill'!O314</f>
        <v>0</v>
      </c>
      <c r="E97" s="79">
        <f>'option 3.3 limiting landfill'!P314</f>
        <v>-1.1707738385384444E-2</v>
      </c>
      <c r="F97" s="184">
        <f>'option 3.3 limiting landfill'!Q314</f>
        <v>-1.897840370057971E-2</v>
      </c>
      <c r="G97" s="129"/>
      <c r="H97" s="171"/>
      <c r="I97" s="129"/>
    </row>
    <row r="98" spans="1:14" x14ac:dyDescent="0.2">
      <c r="B98" s="194"/>
      <c r="C98" s="194"/>
      <c r="D98" s="194"/>
      <c r="E98" s="194"/>
      <c r="F98" s="194"/>
      <c r="G98" s="129"/>
      <c r="H98" s="171"/>
      <c r="I98" s="129"/>
    </row>
    <row r="99" spans="1:14" x14ac:dyDescent="0.2">
      <c r="B99" s="79"/>
      <c r="C99" s="79"/>
      <c r="D99" s="79"/>
      <c r="E99" s="79"/>
      <c r="F99" s="79"/>
      <c r="G99" s="129"/>
      <c r="H99" s="171"/>
      <c r="I99" s="129"/>
    </row>
    <row r="100" spans="1:14" x14ac:dyDescent="0.2">
      <c r="B100" s="79"/>
      <c r="C100" s="81"/>
      <c r="D100" s="79"/>
      <c r="E100" s="79"/>
      <c r="F100" s="79"/>
      <c r="G100" s="129"/>
      <c r="H100" s="171"/>
      <c r="I100" s="129"/>
    </row>
    <row r="101" spans="1:14" ht="14.25" x14ac:dyDescent="0.2">
      <c r="B101" s="129"/>
      <c r="C101" s="129"/>
      <c r="D101" s="230"/>
      <c r="E101" s="230"/>
      <c r="F101" s="231"/>
      <c r="G101" s="129"/>
      <c r="H101" s="171"/>
      <c r="I101" s="129"/>
    </row>
    <row r="102" spans="1:14" ht="14.25" x14ac:dyDescent="0.2">
      <c r="B102" s="129"/>
      <c r="C102" s="129"/>
      <c r="D102" s="230"/>
      <c r="E102" s="230"/>
      <c r="F102" s="231"/>
      <c r="G102" s="129"/>
      <c r="H102" s="171"/>
      <c r="I102" s="129"/>
    </row>
    <row r="103" spans="1:14" ht="14.25" x14ac:dyDescent="0.2">
      <c r="B103" s="129"/>
      <c r="C103" s="129"/>
      <c r="D103" s="230"/>
      <c r="E103" s="230"/>
      <c r="F103" s="231"/>
      <c r="G103" s="129"/>
      <c r="H103" s="171"/>
      <c r="I103" s="129"/>
    </row>
    <row r="104" spans="1:14" ht="14.25" x14ac:dyDescent="0.2">
      <c r="B104" s="129"/>
      <c r="C104" s="129"/>
      <c r="D104" s="230"/>
      <c r="E104" s="230"/>
      <c r="F104" s="231"/>
      <c r="G104" s="129"/>
      <c r="H104" s="171"/>
      <c r="I104" s="129"/>
      <c r="J104" s="79"/>
      <c r="K104" s="79"/>
      <c r="L104" s="79"/>
      <c r="M104" s="79"/>
    </row>
    <row r="105" spans="1:14" ht="14.25" x14ac:dyDescent="0.2">
      <c r="B105" s="129"/>
      <c r="C105" s="129"/>
      <c r="D105" s="230"/>
      <c r="E105" s="230"/>
      <c r="F105" s="231"/>
      <c r="G105" s="129"/>
      <c r="H105" s="171"/>
      <c r="I105" s="129"/>
      <c r="J105" s="79"/>
      <c r="K105" s="80"/>
      <c r="L105" s="79"/>
      <c r="M105" s="79"/>
    </row>
    <row r="106" spans="1:14" ht="14.25" x14ac:dyDescent="0.2">
      <c r="B106" s="129"/>
      <c r="C106" s="129"/>
      <c r="D106" s="230"/>
      <c r="E106" s="230"/>
      <c r="F106" s="231"/>
      <c r="G106" s="129"/>
      <c r="H106" s="171"/>
      <c r="I106" s="129"/>
      <c r="J106" s="164"/>
      <c r="K106" s="80"/>
      <c r="L106" s="164"/>
      <c r="M106" s="164"/>
    </row>
    <row r="107" spans="1:14" ht="14.25" x14ac:dyDescent="0.2">
      <c r="A107" s="4"/>
      <c r="B107" s="129"/>
      <c r="C107" s="129"/>
      <c r="D107" s="230"/>
      <c r="E107" s="230"/>
      <c r="F107" s="231"/>
      <c r="G107" s="129"/>
      <c r="H107" s="171"/>
      <c r="I107" s="129"/>
      <c r="J107" s="164"/>
      <c r="K107" s="80"/>
      <c r="L107" s="164"/>
      <c r="M107" s="164"/>
    </row>
    <row r="108" spans="1:14" ht="14.25" x14ac:dyDescent="0.2">
      <c r="B108" s="129"/>
      <c r="C108" s="129"/>
      <c r="D108" s="230"/>
      <c r="E108" s="230"/>
      <c r="F108" s="231"/>
      <c r="G108" s="129"/>
      <c r="H108" s="171"/>
      <c r="I108" s="129"/>
      <c r="J108" s="164"/>
      <c r="K108" s="80"/>
      <c r="L108" s="164"/>
      <c r="M108" s="164"/>
    </row>
    <row r="109" spans="1:14" ht="14.25" x14ac:dyDescent="0.2">
      <c r="B109" s="129"/>
      <c r="C109" s="129"/>
      <c r="D109" s="230"/>
      <c r="E109" s="230"/>
      <c r="F109" s="231"/>
      <c r="G109" s="129"/>
      <c r="H109" s="171"/>
      <c r="I109" s="129"/>
      <c r="J109" s="164"/>
      <c r="K109" s="80"/>
      <c r="L109" s="164"/>
      <c r="M109" s="164"/>
    </row>
    <row r="110" spans="1:14" ht="14.25" x14ac:dyDescent="0.2">
      <c r="B110" s="129"/>
      <c r="C110" s="129"/>
      <c r="D110" s="230"/>
      <c r="E110" s="230"/>
      <c r="F110" s="231"/>
      <c r="G110" s="129"/>
      <c r="H110" s="171"/>
      <c r="I110" s="129"/>
      <c r="J110" s="164"/>
      <c r="K110" s="80"/>
      <c r="L110" s="164"/>
      <c r="M110" s="164"/>
      <c r="N110" s="79"/>
    </row>
    <row r="111" spans="1:14" ht="14.25" x14ac:dyDescent="0.2">
      <c r="B111" s="129"/>
      <c r="C111" s="129"/>
      <c r="D111" s="230"/>
      <c r="E111" s="230"/>
      <c r="F111" s="231"/>
      <c r="G111" s="129"/>
      <c r="H111" s="171"/>
      <c r="I111" s="129"/>
      <c r="J111" s="164"/>
      <c r="K111" s="80"/>
      <c r="L111" s="164"/>
      <c r="M111" s="164"/>
      <c r="N111" s="79"/>
    </row>
    <row r="112" spans="1:14" ht="14.25" x14ac:dyDescent="0.2">
      <c r="B112" s="129"/>
      <c r="C112" s="129"/>
      <c r="D112" s="230"/>
      <c r="E112" s="230"/>
      <c r="F112" s="231"/>
      <c r="G112" s="129"/>
      <c r="H112" s="171"/>
      <c r="I112" s="129"/>
      <c r="J112" s="164"/>
      <c r="K112" s="80"/>
      <c r="L112" s="164"/>
      <c r="M112" s="164"/>
      <c r="N112" s="79"/>
    </row>
    <row r="113" spans="1:14" ht="14.25" x14ac:dyDescent="0.2">
      <c r="B113" s="129"/>
      <c r="C113" s="129"/>
      <c r="D113" s="230"/>
      <c r="E113" s="230"/>
      <c r="F113" s="231"/>
      <c r="G113" s="129"/>
      <c r="H113" s="171"/>
      <c r="I113" s="129"/>
      <c r="N113" s="79"/>
    </row>
    <row r="114" spans="1:14" ht="14.25" x14ac:dyDescent="0.2">
      <c r="A114" s="4"/>
      <c r="B114" s="129"/>
      <c r="C114" s="129"/>
      <c r="D114" s="230"/>
      <c r="E114" s="230"/>
      <c r="F114" s="231"/>
      <c r="G114" s="129"/>
      <c r="H114" s="171"/>
      <c r="I114" s="129"/>
      <c r="N114" s="79"/>
    </row>
    <row r="115" spans="1:14" ht="14.25" x14ac:dyDescent="0.2">
      <c r="B115" s="129"/>
      <c r="C115" s="129"/>
      <c r="D115" s="230"/>
      <c r="E115" s="230"/>
      <c r="F115" s="231"/>
      <c r="G115" s="129"/>
      <c r="H115" s="171"/>
      <c r="I115" s="129"/>
      <c r="N115" s="79"/>
    </row>
    <row r="116" spans="1:14" ht="14.25" x14ac:dyDescent="0.2">
      <c r="B116" s="129"/>
      <c r="C116" s="129"/>
      <c r="D116" s="230"/>
      <c r="E116" s="230"/>
      <c r="F116" s="231"/>
      <c r="G116" s="129"/>
      <c r="H116" s="171"/>
      <c r="I116" s="129"/>
      <c r="N116" s="79"/>
    </row>
    <row r="117" spans="1:14" ht="14.25" x14ac:dyDescent="0.2">
      <c r="B117" s="129"/>
      <c r="C117" s="129"/>
      <c r="D117" s="230"/>
      <c r="E117" s="230"/>
      <c r="F117" s="231"/>
      <c r="G117" s="129"/>
      <c r="H117" s="171"/>
      <c r="I117" s="129"/>
      <c r="N117" s="79"/>
    </row>
    <row r="118" spans="1:14" ht="14.25" x14ac:dyDescent="0.2">
      <c r="B118" s="129"/>
      <c r="C118" s="129"/>
      <c r="D118" s="230"/>
      <c r="E118" s="230"/>
      <c r="F118" s="231"/>
      <c r="G118" s="129"/>
      <c r="H118" s="171"/>
      <c r="I118" s="129"/>
      <c r="N118" s="79"/>
    </row>
    <row r="119" spans="1:14" ht="14.25" x14ac:dyDescent="0.2">
      <c r="B119" s="129"/>
      <c r="C119" s="129"/>
      <c r="D119" s="230"/>
      <c r="E119" s="230"/>
      <c r="F119" s="231"/>
      <c r="G119" s="129"/>
      <c r="H119" s="171"/>
      <c r="I119" s="129"/>
    </row>
    <row r="120" spans="1:14" ht="14.25" x14ac:dyDescent="0.2">
      <c r="B120" s="129"/>
      <c r="C120" s="129"/>
      <c r="D120" s="230"/>
      <c r="E120" s="230"/>
      <c r="F120" s="231"/>
      <c r="G120" s="129"/>
      <c r="H120" s="171"/>
      <c r="I120" s="129"/>
    </row>
    <row r="121" spans="1:14" ht="14.25" x14ac:dyDescent="0.2">
      <c r="A121" s="4"/>
      <c r="B121" s="129"/>
      <c r="C121" s="129"/>
      <c r="D121" s="230"/>
      <c r="E121" s="230"/>
      <c r="F121" s="231"/>
      <c r="G121" s="129"/>
      <c r="H121" s="171"/>
      <c r="I121" s="129"/>
    </row>
    <row r="122" spans="1:14" ht="14.25" x14ac:dyDescent="0.2">
      <c r="B122" s="129"/>
      <c r="C122" s="129"/>
      <c r="D122" s="230"/>
      <c r="E122" s="230"/>
      <c r="F122" s="231"/>
      <c r="G122" s="129"/>
      <c r="H122" s="171"/>
      <c r="I122" s="129"/>
    </row>
    <row r="123" spans="1:14" ht="14.25" x14ac:dyDescent="0.2">
      <c r="B123" s="129"/>
      <c r="C123" s="129"/>
      <c r="D123" s="230"/>
      <c r="E123" s="230"/>
      <c r="F123" s="231"/>
      <c r="G123" s="129"/>
      <c r="H123" s="171"/>
      <c r="I123" s="129"/>
    </row>
    <row r="124" spans="1:14" ht="14.25" x14ac:dyDescent="0.2">
      <c r="B124" s="129"/>
      <c r="C124" s="129"/>
      <c r="D124" s="230"/>
      <c r="E124" s="230"/>
      <c r="F124" s="231"/>
      <c r="G124" s="129"/>
      <c r="H124" s="171"/>
      <c r="I124" s="129"/>
      <c r="J124" s="4"/>
      <c r="K124" s="4"/>
      <c r="L124" s="4"/>
      <c r="M124" s="4"/>
    </row>
    <row r="125" spans="1:14" ht="14.25" x14ac:dyDescent="0.2">
      <c r="B125" s="129"/>
      <c r="C125" s="129"/>
      <c r="D125" s="230"/>
      <c r="E125" s="230"/>
      <c r="F125" s="231"/>
      <c r="G125" s="129"/>
      <c r="H125" s="171"/>
      <c r="I125" s="129"/>
    </row>
    <row r="126" spans="1:14" ht="14.25" x14ac:dyDescent="0.2">
      <c r="B126" s="129"/>
      <c r="C126" s="129"/>
      <c r="D126" s="230"/>
      <c r="E126" s="230"/>
      <c r="F126" s="231"/>
      <c r="G126" s="129"/>
      <c r="H126" s="171"/>
      <c r="I126" s="129"/>
    </row>
    <row r="127" spans="1:14" ht="14.25" x14ac:dyDescent="0.2">
      <c r="B127" s="129"/>
      <c r="C127" s="129"/>
      <c r="D127" s="230"/>
      <c r="E127" s="230"/>
      <c r="F127" s="231"/>
      <c r="G127" s="129"/>
      <c r="H127" s="171"/>
      <c r="I127" s="129"/>
    </row>
    <row r="128" spans="1:14" ht="14.25" x14ac:dyDescent="0.2">
      <c r="A128" s="4"/>
      <c r="B128" s="129"/>
      <c r="C128" s="129"/>
      <c r="D128" s="230"/>
      <c r="E128" s="230"/>
      <c r="F128" s="231"/>
      <c r="G128" s="129"/>
      <c r="H128" s="171"/>
      <c r="I128" s="129"/>
    </row>
    <row r="129" spans="2:47" ht="14.25" x14ac:dyDescent="0.2">
      <c r="B129" s="129"/>
      <c r="C129" s="129"/>
      <c r="D129" s="230"/>
      <c r="E129" s="230"/>
      <c r="F129" s="231"/>
      <c r="G129" s="129"/>
      <c r="H129" s="171"/>
      <c r="I129" s="129"/>
    </row>
    <row r="130" spans="2:47" ht="14.25" x14ac:dyDescent="0.2">
      <c r="B130" s="129"/>
      <c r="C130" s="129"/>
      <c r="D130" s="230"/>
      <c r="E130" s="230"/>
      <c r="F130" s="231"/>
      <c r="G130" s="129"/>
      <c r="H130" s="171"/>
      <c r="I130" s="129"/>
      <c r="N130" s="4"/>
    </row>
    <row r="131" spans="2:47" ht="14.25" x14ac:dyDescent="0.2">
      <c r="B131" s="129"/>
      <c r="C131" s="129"/>
      <c r="D131" s="230"/>
      <c r="E131" s="230"/>
      <c r="F131" s="231"/>
      <c r="G131" s="129"/>
      <c r="H131" s="171"/>
      <c r="I131" s="129"/>
      <c r="J131" s="4"/>
      <c r="K131" s="4"/>
      <c r="L131" s="4"/>
      <c r="M131" s="4"/>
    </row>
    <row r="132" spans="2:47" ht="14.25" x14ac:dyDescent="0.2">
      <c r="B132" s="129"/>
      <c r="C132" s="129"/>
      <c r="D132" s="230"/>
      <c r="E132" s="230"/>
      <c r="F132" s="231"/>
      <c r="G132" s="129"/>
      <c r="H132" s="171"/>
      <c r="I132" s="129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2:47" ht="14.25" x14ac:dyDescent="0.2">
      <c r="B133" s="129"/>
      <c r="C133" s="129"/>
      <c r="D133" s="230"/>
      <c r="E133" s="230"/>
      <c r="F133" s="231"/>
      <c r="G133" s="129"/>
      <c r="H133" s="171"/>
      <c r="I133" s="129"/>
    </row>
    <row r="134" spans="2:47" ht="14.25" x14ac:dyDescent="0.2">
      <c r="B134" s="129"/>
      <c r="C134" s="129"/>
      <c r="D134" s="230"/>
      <c r="E134" s="230"/>
      <c r="F134" s="231"/>
      <c r="G134" s="129"/>
      <c r="H134" s="171"/>
      <c r="I134" s="129"/>
    </row>
    <row r="135" spans="2:47" ht="14.25" x14ac:dyDescent="0.2">
      <c r="B135" s="129"/>
      <c r="C135" s="129"/>
      <c r="D135" s="230"/>
      <c r="E135" s="230"/>
      <c r="F135" s="231"/>
      <c r="G135" s="129"/>
      <c r="H135" s="171"/>
      <c r="I135" s="129"/>
    </row>
    <row r="136" spans="2:47" ht="14.25" x14ac:dyDescent="0.2">
      <c r="B136" s="129"/>
      <c r="C136" s="129"/>
      <c r="D136" s="230"/>
      <c r="E136" s="230"/>
      <c r="F136" s="231"/>
      <c r="G136" s="129"/>
      <c r="H136" s="171"/>
      <c r="I136" s="129"/>
      <c r="Y136" s="4"/>
    </row>
    <row r="137" spans="2:47" ht="14.25" x14ac:dyDescent="0.2">
      <c r="B137" s="129"/>
      <c r="C137" s="129"/>
      <c r="D137" s="230"/>
      <c r="E137" s="230"/>
      <c r="F137" s="231"/>
      <c r="G137" s="129"/>
      <c r="H137" s="171"/>
      <c r="I137" s="129"/>
      <c r="N137" s="4"/>
    </row>
    <row r="138" spans="2:47" ht="14.25" x14ac:dyDescent="0.2">
      <c r="B138" s="129"/>
      <c r="C138" s="129"/>
      <c r="D138" s="230"/>
      <c r="E138" s="230"/>
      <c r="F138" s="231"/>
      <c r="G138" s="129"/>
      <c r="H138" s="171"/>
      <c r="I138" s="129"/>
      <c r="J138" s="4"/>
      <c r="K138" s="4"/>
      <c r="L138" s="4"/>
      <c r="M138" s="4"/>
    </row>
    <row r="139" spans="2:47" ht="14.25" x14ac:dyDescent="0.2">
      <c r="B139" s="129"/>
      <c r="C139" s="129"/>
      <c r="D139" s="230"/>
      <c r="E139" s="230"/>
      <c r="F139" s="231"/>
      <c r="G139" s="129"/>
      <c r="H139" s="171"/>
      <c r="I139" s="129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2:47" ht="14.25" x14ac:dyDescent="0.2">
      <c r="B140" s="129"/>
      <c r="C140" s="129"/>
      <c r="D140" s="230"/>
      <c r="E140" s="230"/>
      <c r="F140" s="231"/>
      <c r="G140" s="129"/>
      <c r="H140" s="171"/>
      <c r="I140" s="129"/>
      <c r="O140" s="79"/>
    </row>
    <row r="141" spans="2:47" ht="14.25" x14ac:dyDescent="0.2">
      <c r="B141" s="129"/>
      <c r="C141" s="129"/>
      <c r="D141" s="230"/>
      <c r="E141" s="230"/>
      <c r="F141" s="231"/>
      <c r="G141" s="129"/>
      <c r="H141" s="171"/>
      <c r="I141" s="129"/>
      <c r="O141" s="79"/>
    </row>
    <row r="142" spans="2:47" ht="14.25" x14ac:dyDescent="0.2">
      <c r="B142" s="129"/>
      <c r="C142" s="129"/>
      <c r="D142" s="230"/>
      <c r="E142" s="230"/>
      <c r="F142" s="231"/>
      <c r="G142" s="129"/>
      <c r="H142" s="171"/>
      <c r="I142" s="129"/>
      <c r="O142" s="164"/>
    </row>
    <row r="143" spans="2:47" ht="14.25" x14ac:dyDescent="0.2">
      <c r="B143" s="129"/>
      <c r="C143" s="129"/>
      <c r="D143" s="230"/>
      <c r="E143" s="230"/>
      <c r="F143" s="231"/>
      <c r="G143" s="129"/>
      <c r="H143" s="171"/>
      <c r="I143" s="129"/>
      <c r="O143" s="164"/>
      <c r="Y143" s="4"/>
    </row>
    <row r="144" spans="2:47" ht="14.25" x14ac:dyDescent="0.2">
      <c r="B144" s="129"/>
      <c r="C144" s="129"/>
      <c r="D144" s="230"/>
      <c r="E144" s="230"/>
      <c r="F144" s="231"/>
      <c r="G144" s="129"/>
      <c r="H144" s="171"/>
      <c r="I144" s="129"/>
      <c r="N144" s="4"/>
      <c r="O144" s="164"/>
    </row>
    <row r="145" spans="1:47" ht="14.25" x14ac:dyDescent="0.2">
      <c r="B145" s="129"/>
      <c r="C145" s="129"/>
      <c r="D145" s="230"/>
      <c r="E145" s="230"/>
      <c r="F145" s="231"/>
      <c r="G145" s="129"/>
      <c r="H145" s="171"/>
      <c r="I145" s="129"/>
      <c r="J145" s="4"/>
      <c r="K145" s="4"/>
      <c r="L145" s="4"/>
      <c r="M145" s="4"/>
      <c r="O145" s="164"/>
    </row>
    <row r="146" spans="1:47" ht="14.25" x14ac:dyDescent="0.2">
      <c r="B146" s="129"/>
      <c r="C146" s="129"/>
      <c r="D146" s="230"/>
      <c r="E146" s="230"/>
      <c r="F146" s="231"/>
      <c r="G146" s="129"/>
      <c r="H146" s="171"/>
      <c r="I146" s="129"/>
      <c r="O146" s="164"/>
      <c r="P146" s="79"/>
      <c r="Q146" s="79"/>
      <c r="W146" s="4"/>
      <c r="X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 ht="14.25" x14ac:dyDescent="0.2">
      <c r="B147" s="129"/>
      <c r="C147" s="129"/>
      <c r="D147" s="230"/>
      <c r="E147" s="230"/>
      <c r="F147" s="231"/>
      <c r="G147" s="129"/>
      <c r="H147" s="171"/>
      <c r="I147" s="129"/>
      <c r="O147" s="164"/>
      <c r="P147" s="79"/>
      <c r="Q147" s="79"/>
    </row>
    <row r="148" spans="1:47" ht="14.25" x14ac:dyDescent="0.2">
      <c r="B148" s="129"/>
      <c r="C148" s="129"/>
      <c r="D148" s="230"/>
      <c r="E148" s="230"/>
      <c r="F148" s="231"/>
      <c r="G148" s="129"/>
      <c r="H148" s="171"/>
      <c r="I148" s="129"/>
      <c r="O148" s="164"/>
      <c r="P148" s="164"/>
      <c r="Q148" s="79"/>
      <c r="U148" s="4"/>
      <c r="V148" s="4"/>
    </row>
    <row r="149" spans="1:47" ht="14.25" x14ac:dyDescent="0.2">
      <c r="B149" s="129"/>
      <c r="C149" s="129"/>
      <c r="D149" s="230"/>
      <c r="E149" s="230"/>
      <c r="F149" s="231"/>
      <c r="G149" s="129"/>
      <c r="H149" s="171"/>
      <c r="I149" s="129"/>
      <c r="P149" s="164"/>
      <c r="Q149" s="79"/>
      <c r="S149" s="4"/>
      <c r="T149" s="4"/>
    </row>
    <row r="150" spans="1:47" ht="14.25" x14ac:dyDescent="0.2">
      <c r="B150" s="129"/>
      <c r="C150" s="129"/>
      <c r="D150" s="230"/>
      <c r="E150" s="230"/>
      <c r="F150" s="231"/>
      <c r="G150" s="129"/>
      <c r="H150" s="171"/>
      <c r="I150" s="129"/>
      <c r="P150" s="164"/>
      <c r="Q150" s="79"/>
      <c r="Y150" s="4"/>
    </row>
    <row r="151" spans="1:47" ht="14.25" x14ac:dyDescent="0.2">
      <c r="B151" s="129"/>
      <c r="C151" s="129"/>
      <c r="D151" s="230"/>
      <c r="E151" s="230"/>
      <c r="F151" s="231"/>
      <c r="G151" s="129"/>
      <c r="H151" s="171"/>
      <c r="I151" s="129"/>
      <c r="N151" s="4"/>
      <c r="P151" s="164"/>
      <c r="Q151" s="79"/>
    </row>
    <row r="152" spans="1:47" ht="14.25" x14ac:dyDescent="0.2">
      <c r="B152" s="129"/>
      <c r="C152" s="129"/>
      <c r="D152" s="230"/>
      <c r="E152" s="230"/>
      <c r="F152" s="231"/>
      <c r="G152" s="129"/>
      <c r="H152" s="171"/>
      <c r="I152" s="129"/>
      <c r="P152" s="164"/>
      <c r="Q152" s="79"/>
    </row>
    <row r="153" spans="1:47" s="1" customFormat="1" ht="14.25" x14ac:dyDescent="0.2">
      <c r="A153"/>
      <c r="B153" s="129"/>
      <c r="C153" s="129"/>
      <c r="D153" s="230"/>
      <c r="E153" s="230"/>
      <c r="F153" s="231"/>
      <c r="G153" s="129"/>
      <c r="H153" s="171"/>
      <c r="I153" s="129"/>
      <c r="J153"/>
      <c r="K153"/>
      <c r="L153"/>
      <c r="M153"/>
      <c r="N153"/>
      <c r="O153"/>
      <c r="P153" s="164"/>
      <c r="Q153" s="79"/>
      <c r="S153"/>
      <c r="T153"/>
      <c r="U153"/>
      <c r="V153"/>
      <c r="W153" s="4"/>
      <c r="X153" s="4"/>
      <c r="Y153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1:47" s="1" customFormat="1" x14ac:dyDescent="0.2">
      <c r="A154"/>
      <c r="B154" s="129"/>
      <c r="C154" s="129"/>
      <c r="D154" s="129"/>
      <c r="E154" s="129"/>
      <c r="F154" s="129"/>
      <c r="G154" s="129"/>
      <c r="H154" s="171"/>
      <c r="I154" s="129"/>
      <c r="J154"/>
      <c r="K154"/>
      <c r="L154"/>
      <c r="M154"/>
      <c r="N154"/>
      <c r="O154"/>
      <c r="P154" s="164"/>
      <c r="Q154" s="79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1:47" s="1" customFormat="1" x14ac:dyDescent="0.2">
      <c r="A155"/>
      <c r="B155" s="129"/>
      <c r="C155" s="129"/>
      <c r="D155" s="129"/>
      <c r="E155" s="129"/>
      <c r="F155" s="129"/>
      <c r="G155" s="129"/>
      <c r="H155" s="171"/>
      <c r="I155" s="129"/>
      <c r="J155"/>
      <c r="K155"/>
      <c r="L155"/>
      <c r="M155"/>
      <c r="N155"/>
      <c r="O155"/>
      <c r="P155"/>
      <c r="Q155"/>
      <c r="S155"/>
      <c r="T155"/>
      <c r="U155" s="4"/>
      <c r="V155" s="4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1:47" s="1" customFormat="1" x14ac:dyDescent="0.2">
      <c r="A156"/>
      <c r="B156" s="129"/>
      <c r="C156" s="129"/>
      <c r="D156" s="129"/>
      <c r="E156" s="129"/>
      <c r="F156" s="129"/>
      <c r="G156" s="129"/>
      <c r="H156" s="171"/>
      <c r="I156" s="129"/>
      <c r="J156"/>
      <c r="K156"/>
      <c r="L156"/>
      <c r="M156"/>
      <c r="N156"/>
      <c r="O156"/>
      <c r="P156"/>
      <c r="Q156"/>
      <c r="S156" s="4"/>
      <c r="T156" s="4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1:47" s="1" customFormat="1" x14ac:dyDescent="0.2">
      <c r="A157"/>
      <c r="B157" s="129"/>
      <c r="C157" s="129"/>
      <c r="D157" s="129"/>
      <c r="E157" s="129"/>
      <c r="F157" s="129"/>
      <c r="G157" s="129"/>
      <c r="H157" s="171"/>
      <c r="I157" s="129"/>
      <c r="J157"/>
      <c r="K157"/>
      <c r="L157"/>
      <c r="M157"/>
      <c r="N157"/>
      <c r="O157"/>
      <c r="P157"/>
      <c r="Q157"/>
      <c r="S157"/>
      <c r="T157"/>
      <c r="U157"/>
      <c r="V157"/>
      <c r="W157"/>
      <c r="X157"/>
      <c r="Y157" s="4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1:47" s="1" customFormat="1" x14ac:dyDescent="0.2">
      <c r="A158"/>
      <c r="B158" s="129"/>
      <c r="C158" s="129"/>
      <c r="D158" s="129"/>
      <c r="E158" s="129"/>
      <c r="F158" s="129"/>
      <c r="G158" s="129"/>
      <c r="H158" s="171"/>
      <c r="I158" s="129"/>
      <c r="J158"/>
      <c r="K158"/>
      <c r="L158"/>
      <c r="M158"/>
      <c r="N158"/>
      <c r="O158"/>
      <c r="P158"/>
      <c r="Q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1:47" s="1" customFormat="1" x14ac:dyDescent="0.2">
      <c r="A159"/>
      <c r="B159" s="129"/>
      <c r="C159" s="129"/>
      <c r="D159" s="129"/>
      <c r="E159" s="129"/>
      <c r="F159" s="129"/>
      <c r="G159" s="129"/>
      <c r="H159" s="171"/>
      <c r="I159" s="129"/>
      <c r="J159"/>
      <c r="K159"/>
      <c r="L159"/>
      <c r="M159"/>
      <c r="N159"/>
      <c r="O159"/>
      <c r="P159"/>
      <c r="Q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1:47" s="1" customFormat="1" x14ac:dyDescent="0.2">
      <c r="A160"/>
      <c r="B160" s="129"/>
      <c r="C160" s="129"/>
      <c r="D160" s="129"/>
      <c r="E160" s="129"/>
      <c r="F160" s="129"/>
      <c r="G160" s="129"/>
      <c r="H160" s="171"/>
      <c r="I160" s="129"/>
      <c r="J160"/>
      <c r="K160"/>
      <c r="L160"/>
      <c r="M160"/>
      <c r="N160"/>
      <c r="O160" s="4"/>
      <c r="P160"/>
      <c r="Q160"/>
      <c r="S160"/>
      <c r="T160"/>
      <c r="U160"/>
      <c r="V160"/>
      <c r="W160" s="4"/>
      <c r="X160" s="4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47" s="1" customFormat="1" x14ac:dyDescent="0.2">
      <c r="A161"/>
      <c r="B161" s="129"/>
      <c r="C161" s="129"/>
      <c r="D161" s="129"/>
      <c r="E161" s="129"/>
      <c r="F161" s="129"/>
      <c r="G161" s="129"/>
      <c r="H161" s="171"/>
      <c r="I161" s="129"/>
      <c r="J161"/>
      <c r="K161"/>
      <c r="L161"/>
      <c r="M161"/>
      <c r="N161"/>
      <c r="O161"/>
      <c r="P161"/>
      <c r="Q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1:47" x14ac:dyDescent="0.2">
      <c r="B162" s="129"/>
      <c r="C162" s="129"/>
      <c r="D162" s="129"/>
      <c r="E162" s="129"/>
      <c r="F162" s="129"/>
      <c r="G162" s="129"/>
      <c r="H162" s="171"/>
      <c r="I162" s="129"/>
      <c r="J162" s="129"/>
      <c r="K162" s="129"/>
      <c r="L162" s="129"/>
      <c r="U162" s="4"/>
      <c r="V162" s="4"/>
    </row>
    <row r="163" spans="1:47" s="1" customFormat="1" x14ac:dyDescent="0.2">
      <c r="A163"/>
      <c r="B163" s="129"/>
      <c r="C163" s="129"/>
      <c r="D163" s="129"/>
      <c r="E163" s="170"/>
      <c r="F163" s="129"/>
      <c r="G163" s="129"/>
      <c r="H163" s="171"/>
      <c r="I163" s="129"/>
      <c r="J163" s="129"/>
      <c r="K163" s="170"/>
      <c r="L163" s="129"/>
      <c r="M163"/>
      <c r="N163"/>
      <c r="O163"/>
      <c r="P163"/>
      <c r="Q163"/>
      <c r="S163" s="4"/>
      <c r="T163" s="4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1:47" s="1" customFormat="1" x14ac:dyDescent="0.2">
      <c r="A164"/>
      <c r="B164"/>
      <c r="C164"/>
      <c r="D164"/>
      <c r="E164"/>
      <c r="F164"/>
      <c r="G164"/>
      <c r="I164"/>
      <c r="J164" s="129"/>
      <c r="K164" s="129"/>
      <c r="L164" s="129"/>
      <c r="M164"/>
      <c r="N164"/>
      <c r="O164"/>
      <c r="P164"/>
      <c r="Q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1:47" s="1" customFormat="1" x14ac:dyDescent="0.2">
      <c r="A165"/>
      <c r="B165"/>
      <c r="C165"/>
      <c r="D165"/>
      <c r="E165"/>
      <c r="F165"/>
      <c r="G165"/>
      <c r="I165"/>
      <c r="J165" s="129"/>
      <c r="K165" s="129"/>
      <c r="L165" s="129"/>
      <c r="M165"/>
      <c r="N165"/>
      <c r="O165"/>
      <c r="P165"/>
      <c r="Q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1:47" s="1" customFormat="1" x14ac:dyDescent="0.2">
      <c r="A166"/>
      <c r="B166"/>
      <c r="C166"/>
      <c r="D166"/>
      <c r="E166"/>
      <c r="F166"/>
      <c r="G166"/>
      <c r="I166"/>
      <c r="J166" s="129"/>
      <c r="K166" s="129"/>
      <c r="L166" s="129"/>
      <c r="M166"/>
      <c r="N166"/>
      <c r="O166"/>
      <c r="P166"/>
      <c r="Q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1:47" s="1" customFormat="1" x14ac:dyDescent="0.2">
      <c r="A167"/>
      <c r="B167"/>
      <c r="C167"/>
      <c r="D167"/>
      <c r="E167"/>
      <c r="F167"/>
      <c r="G167"/>
      <c r="I167"/>
      <c r="J167" s="129"/>
      <c r="K167" s="129"/>
      <c r="L167" s="129"/>
      <c r="M167"/>
      <c r="N167"/>
      <c r="O167" s="4"/>
      <c r="P167"/>
      <c r="Q167"/>
      <c r="S167"/>
      <c r="T167"/>
      <c r="U167"/>
      <c r="V167"/>
      <c r="W167" s="4"/>
      <c r="X167" s="4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1:47" s="4" customFormat="1" x14ac:dyDescent="0.2">
      <c r="A168"/>
      <c r="B168"/>
      <c r="C168"/>
      <c r="D168"/>
      <c r="E168"/>
      <c r="F168"/>
      <c r="G168"/>
      <c r="H168" s="1"/>
      <c r="I168"/>
      <c r="J168" s="129"/>
      <c r="K168" s="129"/>
      <c r="L168" s="129"/>
      <c r="M168"/>
      <c r="N168"/>
      <c r="O168"/>
      <c r="P168"/>
      <c r="Q168"/>
      <c r="R168" s="1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1:47" x14ac:dyDescent="0.2">
      <c r="J169" s="129"/>
      <c r="K169" s="129"/>
      <c r="L169" s="129"/>
      <c r="U169" s="4"/>
      <c r="V169" s="4"/>
    </row>
    <row r="170" spans="1:47" x14ac:dyDescent="0.2">
      <c r="J170" s="129"/>
      <c r="K170" s="129"/>
      <c r="L170" s="129"/>
      <c r="S170" s="4"/>
      <c r="T170" s="4"/>
    </row>
    <row r="171" spans="1:47" x14ac:dyDescent="0.2">
      <c r="J171" s="129"/>
      <c r="K171" s="129"/>
      <c r="L171" s="129"/>
    </row>
    <row r="172" spans="1:47" x14ac:dyDescent="0.2">
      <c r="J172" s="129"/>
      <c r="K172" s="129"/>
      <c r="L172" s="129"/>
    </row>
    <row r="173" spans="1:47" x14ac:dyDescent="0.2">
      <c r="J173" s="129"/>
      <c r="K173" s="129"/>
      <c r="L173" s="129"/>
    </row>
    <row r="174" spans="1:47" x14ac:dyDescent="0.2">
      <c r="J174" s="129"/>
      <c r="K174" s="129"/>
      <c r="L174" s="129"/>
      <c r="O174" s="4"/>
    </row>
    <row r="175" spans="1:47" s="4" customFormat="1" x14ac:dyDescent="0.2">
      <c r="A175"/>
      <c r="B175"/>
      <c r="C175"/>
      <c r="D175"/>
      <c r="E175"/>
      <c r="F175"/>
      <c r="G175"/>
      <c r="H175" s="1"/>
      <c r="I175"/>
      <c r="J175" s="129"/>
      <c r="K175" s="129"/>
      <c r="L175" s="129"/>
      <c r="M175"/>
      <c r="N175"/>
      <c r="O175"/>
      <c r="P175"/>
      <c r="Q175"/>
      <c r="R175" s="1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1:47" x14ac:dyDescent="0.2">
      <c r="J176" s="129"/>
      <c r="K176" s="129"/>
      <c r="L176" s="129"/>
    </row>
    <row r="177" spans="1:47" x14ac:dyDescent="0.2">
      <c r="J177" s="129"/>
      <c r="K177" s="129"/>
      <c r="L177" s="129"/>
    </row>
    <row r="178" spans="1:47" x14ac:dyDescent="0.2">
      <c r="J178" s="129"/>
      <c r="K178" s="129"/>
      <c r="L178" s="129"/>
      <c r="P178" s="4"/>
      <c r="Q178" s="4"/>
    </row>
    <row r="179" spans="1:47" x14ac:dyDescent="0.2">
      <c r="J179" s="129"/>
      <c r="K179" s="129"/>
      <c r="L179" s="129"/>
    </row>
    <row r="180" spans="1:47" x14ac:dyDescent="0.2">
      <c r="J180" s="129"/>
      <c r="K180" s="129"/>
      <c r="L180" s="129"/>
    </row>
    <row r="181" spans="1:47" x14ac:dyDescent="0.2">
      <c r="J181" s="129"/>
      <c r="K181" s="129"/>
      <c r="L181" s="129"/>
      <c r="O181" s="4"/>
    </row>
    <row r="182" spans="1:47" s="4" customFormat="1" x14ac:dyDescent="0.2">
      <c r="A182"/>
      <c r="B182"/>
      <c r="C182"/>
      <c r="D182"/>
      <c r="E182"/>
      <c r="F182"/>
      <c r="G182"/>
      <c r="H182" s="1"/>
      <c r="I182"/>
      <c r="J182" s="129"/>
      <c r="K182" s="129"/>
      <c r="L182" s="129"/>
      <c r="M182"/>
      <c r="N182"/>
      <c r="O182"/>
      <c r="P182"/>
      <c r="Q182"/>
      <c r="R182" s="1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1:47" x14ac:dyDescent="0.2">
      <c r="J183" s="129"/>
      <c r="K183" s="129"/>
      <c r="L183" s="129"/>
    </row>
    <row r="184" spans="1:47" x14ac:dyDescent="0.2">
      <c r="J184" s="129"/>
      <c r="K184" s="129"/>
      <c r="L184" s="129"/>
    </row>
    <row r="185" spans="1:47" x14ac:dyDescent="0.2">
      <c r="J185" s="129"/>
      <c r="K185" s="129"/>
      <c r="L185" s="129"/>
      <c r="P185" s="4"/>
      <c r="Q185" s="4"/>
    </row>
    <row r="186" spans="1:47" x14ac:dyDescent="0.2">
      <c r="J186" s="129"/>
      <c r="K186" s="129"/>
      <c r="L186" s="129"/>
    </row>
    <row r="187" spans="1:47" x14ac:dyDescent="0.2">
      <c r="J187" s="129"/>
      <c r="K187" s="129"/>
      <c r="L187" s="129"/>
    </row>
    <row r="188" spans="1:47" x14ac:dyDescent="0.2">
      <c r="J188" s="129"/>
      <c r="K188" s="129"/>
      <c r="L188" s="129"/>
    </row>
    <row r="189" spans="1:47" s="4" customFormat="1" x14ac:dyDescent="0.2">
      <c r="A189"/>
      <c r="B189"/>
      <c r="C189"/>
      <c r="D189"/>
      <c r="E189"/>
      <c r="F189"/>
      <c r="G189"/>
      <c r="H189" s="1"/>
      <c r="I189"/>
      <c r="J189" s="129"/>
      <c r="K189" s="129"/>
      <c r="L189" s="129"/>
      <c r="M189"/>
      <c r="N189"/>
      <c r="O189"/>
      <c r="P189"/>
      <c r="Q189"/>
      <c r="R189" s="1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1:47" x14ac:dyDescent="0.2">
      <c r="J190" s="129"/>
      <c r="K190" s="129"/>
      <c r="L190" s="129"/>
    </row>
    <row r="191" spans="1:47" x14ac:dyDescent="0.2">
      <c r="J191" s="129"/>
      <c r="K191" s="129"/>
      <c r="L191" s="129"/>
    </row>
    <row r="192" spans="1:47" x14ac:dyDescent="0.2">
      <c r="J192" s="129"/>
      <c r="K192" s="129"/>
      <c r="L192" s="129"/>
      <c r="P192" s="4"/>
      <c r="Q192" s="4"/>
    </row>
    <row r="193" spans="10:18" x14ac:dyDescent="0.2">
      <c r="J193" s="129"/>
      <c r="K193" s="129"/>
      <c r="L193" s="129"/>
    </row>
    <row r="194" spans="10:18" x14ac:dyDescent="0.2">
      <c r="J194" s="129"/>
      <c r="K194" s="129"/>
      <c r="L194" s="129"/>
    </row>
    <row r="195" spans="10:18" x14ac:dyDescent="0.2">
      <c r="J195" s="129"/>
      <c r="K195" s="129"/>
      <c r="L195" s="129"/>
      <c r="R195" s="16"/>
    </row>
    <row r="196" spans="10:18" x14ac:dyDescent="0.2">
      <c r="J196" s="129"/>
      <c r="K196" s="129"/>
      <c r="L196" s="129"/>
    </row>
    <row r="197" spans="10:18" x14ac:dyDescent="0.2">
      <c r="J197" s="129"/>
      <c r="K197" s="129"/>
      <c r="L197" s="129"/>
    </row>
    <row r="198" spans="10:18" x14ac:dyDescent="0.2">
      <c r="J198" s="129"/>
      <c r="K198" s="129"/>
      <c r="L198" s="129"/>
    </row>
    <row r="199" spans="10:18" x14ac:dyDescent="0.2">
      <c r="J199" s="129"/>
      <c r="K199" s="129"/>
      <c r="L199" s="129"/>
      <c r="P199" s="4"/>
      <c r="Q199" s="4"/>
    </row>
    <row r="200" spans="10:18" x14ac:dyDescent="0.2">
      <c r="J200" s="129"/>
      <c r="K200" s="129"/>
      <c r="L200" s="129"/>
    </row>
    <row r="201" spans="10:18" x14ac:dyDescent="0.2">
      <c r="J201" s="129"/>
      <c r="K201" s="129"/>
      <c r="L201" s="129"/>
    </row>
    <row r="202" spans="10:18" x14ac:dyDescent="0.2">
      <c r="J202" s="129"/>
      <c r="K202" s="129"/>
      <c r="L202" s="129"/>
      <c r="R202" s="16"/>
    </row>
    <row r="203" spans="10:18" x14ac:dyDescent="0.2">
      <c r="J203" s="129"/>
      <c r="K203" s="129"/>
      <c r="L203" s="129"/>
    </row>
    <row r="204" spans="10:18" x14ac:dyDescent="0.2">
      <c r="J204" s="129"/>
      <c r="K204" s="129"/>
      <c r="L204" s="129"/>
    </row>
    <row r="205" spans="10:18" x14ac:dyDescent="0.2">
      <c r="J205" s="129"/>
      <c r="K205" s="129"/>
      <c r="L205" s="129"/>
    </row>
    <row r="206" spans="10:18" x14ac:dyDescent="0.2">
      <c r="J206" s="129"/>
      <c r="K206" s="129"/>
      <c r="L206" s="129"/>
    </row>
    <row r="207" spans="10:18" x14ac:dyDescent="0.2">
      <c r="J207" s="129"/>
      <c r="K207" s="129"/>
      <c r="L207" s="129"/>
    </row>
    <row r="208" spans="10:18" x14ac:dyDescent="0.2">
      <c r="J208" s="129"/>
      <c r="K208" s="129"/>
      <c r="L208" s="129"/>
    </row>
    <row r="209" spans="10:18" x14ac:dyDescent="0.2">
      <c r="J209" s="129"/>
      <c r="K209" s="129"/>
      <c r="L209" s="129"/>
      <c r="R209" s="16"/>
    </row>
    <row r="210" spans="10:18" x14ac:dyDescent="0.2">
      <c r="J210" s="129"/>
      <c r="K210" s="129"/>
      <c r="L210" s="129"/>
    </row>
    <row r="211" spans="10:18" x14ac:dyDescent="0.2">
      <c r="J211" s="129"/>
      <c r="K211" s="129"/>
      <c r="L211" s="129"/>
    </row>
    <row r="212" spans="10:18" x14ac:dyDescent="0.2">
      <c r="J212" s="129"/>
      <c r="K212" s="129"/>
      <c r="L212" s="129"/>
    </row>
    <row r="213" spans="10:18" x14ac:dyDescent="0.2">
      <c r="J213" s="129"/>
      <c r="K213" s="129"/>
      <c r="L213" s="129"/>
    </row>
    <row r="214" spans="10:18" x14ac:dyDescent="0.2">
      <c r="J214" s="129"/>
      <c r="K214" s="129"/>
      <c r="L214" s="129"/>
    </row>
    <row r="215" spans="10:18" x14ac:dyDescent="0.2">
      <c r="J215" s="129"/>
      <c r="K215" s="129"/>
      <c r="L215" s="129"/>
    </row>
    <row r="216" spans="10:18" x14ac:dyDescent="0.2">
      <c r="J216" s="129"/>
      <c r="K216" s="129"/>
      <c r="L216" s="129"/>
      <c r="R216" s="16"/>
    </row>
    <row r="217" spans="10:18" x14ac:dyDescent="0.2">
      <c r="J217" s="129"/>
      <c r="K217" s="129"/>
      <c r="L217" s="129"/>
    </row>
    <row r="218" spans="10:18" x14ac:dyDescent="0.2">
      <c r="J218" s="129"/>
      <c r="K218" s="129"/>
      <c r="L218" s="129"/>
    </row>
    <row r="219" spans="10:18" x14ac:dyDescent="0.2">
      <c r="J219" s="129"/>
      <c r="K219" s="129"/>
      <c r="L219" s="129"/>
    </row>
    <row r="220" spans="10:18" x14ac:dyDescent="0.2">
      <c r="J220" s="129"/>
      <c r="K220" s="129"/>
      <c r="L220" s="129"/>
    </row>
    <row r="221" spans="10:18" x14ac:dyDescent="0.2">
      <c r="J221" s="129"/>
      <c r="K221" s="129"/>
      <c r="L221" s="129"/>
    </row>
    <row r="222" spans="10:18" x14ac:dyDescent="0.2">
      <c r="J222" s="129"/>
      <c r="K222" s="129"/>
      <c r="L222" s="129"/>
    </row>
    <row r="223" spans="10:18" x14ac:dyDescent="0.2">
      <c r="J223" s="129"/>
      <c r="K223" s="129"/>
      <c r="L223" s="129"/>
    </row>
    <row r="224" spans="10:18" x14ac:dyDescent="0.2">
      <c r="J224" s="129"/>
      <c r="K224" s="129"/>
      <c r="L224" s="129"/>
    </row>
    <row r="225" spans="10:12" x14ac:dyDescent="0.2">
      <c r="J225" s="129"/>
      <c r="K225" s="129"/>
      <c r="L225" s="129"/>
    </row>
    <row r="226" spans="10:12" x14ac:dyDescent="0.2">
      <c r="J226" s="129"/>
      <c r="K226" s="129"/>
      <c r="L226" s="129"/>
    </row>
    <row r="227" spans="10:12" x14ac:dyDescent="0.2">
      <c r="J227" s="129"/>
      <c r="K227" s="129"/>
      <c r="L227" s="129"/>
    </row>
    <row r="228" spans="10:12" x14ac:dyDescent="0.2">
      <c r="J228" s="129"/>
      <c r="K228" s="129"/>
      <c r="L228" s="129"/>
    </row>
    <row r="229" spans="10:12" x14ac:dyDescent="0.2">
      <c r="J229" s="129"/>
      <c r="K229" s="129"/>
      <c r="L229" s="129"/>
    </row>
    <row r="230" spans="10:12" x14ac:dyDescent="0.2">
      <c r="J230" s="129"/>
      <c r="K230" s="129"/>
      <c r="L230" s="129"/>
    </row>
    <row r="231" spans="10:12" x14ac:dyDescent="0.2">
      <c r="J231" s="129"/>
      <c r="K231" s="129"/>
      <c r="L231" s="129"/>
    </row>
    <row r="232" spans="10:12" x14ac:dyDescent="0.2">
      <c r="J232" s="129"/>
      <c r="K232" s="129"/>
      <c r="L232" s="129"/>
    </row>
    <row r="233" spans="10:12" x14ac:dyDescent="0.2">
      <c r="J233" s="129"/>
      <c r="K233" s="129"/>
      <c r="L233" s="129"/>
    </row>
    <row r="234" spans="10:12" x14ac:dyDescent="0.2">
      <c r="J234" s="129"/>
      <c r="K234" s="129"/>
      <c r="L234" s="129"/>
    </row>
    <row r="235" spans="10:12" x14ac:dyDescent="0.2">
      <c r="J235" s="129"/>
      <c r="K235" s="129"/>
      <c r="L235" s="129"/>
    </row>
    <row r="236" spans="10:12" x14ac:dyDescent="0.2">
      <c r="J236" s="129"/>
      <c r="K236" s="129"/>
      <c r="L236" s="129"/>
    </row>
    <row r="237" spans="10:12" x14ac:dyDescent="0.2">
      <c r="J237" s="129"/>
      <c r="K237" s="129"/>
      <c r="L237" s="129"/>
    </row>
    <row r="238" spans="10:12" x14ac:dyDescent="0.2">
      <c r="J238" s="129"/>
      <c r="K238" s="129"/>
      <c r="L238" s="129"/>
    </row>
    <row r="239" spans="10:12" x14ac:dyDescent="0.2">
      <c r="J239" s="129"/>
      <c r="K239" s="129"/>
      <c r="L239" s="129"/>
    </row>
    <row r="240" spans="10:12" x14ac:dyDescent="0.2">
      <c r="J240" s="129"/>
      <c r="K240" s="129"/>
      <c r="L240" s="129"/>
    </row>
  </sheetData>
  <mergeCells count="6">
    <mergeCell ref="Y5:Z5"/>
    <mergeCell ref="AI5:AJ5"/>
    <mergeCell ref="AS5:AT5"/>
    <mergeCell ref="D47:F47"/>
    <mergeCell ref="G47:I47"/>
    <mergeCell ref="J47:L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00EC"/>
  </sheetPr>
  <dimension ref="B2:W34"/>
  <sheetViews>
    <sheetView workbookViewId="0">
      <selection activeCell="E13" sqref="E13"/>
    </sheetView>
  </sheetViews>
  <sheetFormatPr defaultRowHeight="12.75" x14ac:dyDescent="0.2"/>
  <cols>
    <col min="2" max="2" width="15.5703125" bestFit="1" customWidth="1"/>
    <col min="8" max="8" width="9.140625" style="1"/>
    <col min="13" max="13" width="14.28515625" customWidth="1"/>
    <col min="16" max="16" width="9.7109375" customWidth="1"/>
    <col min="18" max="18" width="7.5703125" customWidth="1"/>
    <col min="25" max="25" width="12.140625" bestFit="1" customWidth="1"/>
    <col min="27" max="27" width="7" customWidth="1"/>
    <col min="28" max="28" width="20.42578125" bestFit="1" customWidth="1"/>
  </cols>
  <sheetData>
    <row r="2" spans="2:23" ht="13.5" thickBot="1" x14ac:dyDescent="0.25">
      <c r="B2" s="4" t="s">
        <v>0</v>
      </c>
      <c r="F2" t="s">
        <v>3</v>
      </c>
      <c r="M2" s="49" t="s">
        <v>15</v>
      </c>
      <c r="N2" s="50"/>
      <c r="O2" s="50"/>
      <c r="P2" s="51"/>
      <c r="Q2" s="50"/>
      <c r="R2" s="50"/>
    </row>
    <row r="3" spans="2:23" x14ac:dyDescent="0.2">
      <c r="B3">
        <v>2010</v>
      </c>
      <c r="C3" s="59">
        <v>255.14699999999999</v>
      </c>
      <c r="D3" t="s">
        <v>1</v>
      </c>
      <c r="M3" s="50"/>
      <c r="N3" s="50"/>
      <c r="O3" s="50">
        <v>2015</v>
      </c>
      <c r="P3" s="50">
        <v>2020</v>
      </c>
      <c r="Q3" s="50">
        <v>2025</v>
      </c>
      <c r="R3" s="50">
        <v>2030</v>
      </c>
      <c r="U3" s="1"/>
      <c r="V3" s="1"/>
      <c r="W3" s="1"/>
    </row>
    <row r="4" spans="2:23" x14ac:dyDescent="0.2">
      <c r="B4">
        <v>2020</v>
      </c>
      <c r="C4" s="60">
        <v>270.14699999999999</v>
      </c>
      <c r="D4" t="s">
        <v>1</v>
      </c>
      <c r="F4" s="2">
        <f>((C4/C3)^(1/(B4-B3))-1)*100</f>
        <v>0.57289888103706499</v>
      </c>
      <c r="G4" t="s">
        <v>2</v>
      </c>
      <c r="M4" s="50"/>
      <c r="N4" s="51" t="s">
        <v>16</v>
      </c>
      <c r="O4" s="50">
        <v>100</v>
      </c>
      <c r="P4" s="50"/>
      <c r="Q4" s="50"/>
      <c r="R4" s="50"/>
    </row>
    <row r="5" spans="2:23" x14ac:dyDescent="0.2">
      <c r="B5">
        <v>2025</v>
      </c>
      <c r="C5" s="60">
        <v>276.14699999999999</v>
      </c>
      <c r="D5" t="s">
        <v>1</v>
      </c>
      <c r="F5" s="2">
        <f>((C5/C3)^(1/(B5-B3))-1)*100</f>
        <v>0.52868250626592062</v>
      </c>
      <c r="G5" t="s">
        <v>2</v>
      </c>
      <c r="M5" s="51"/>
      <c r="N5" s="51" t="s">
        <v>17</v>
      </c>
      <c r="O5" s="62">
        <f>O4*N31</f>
        <v>78.366280390281759</v>
      </c>
      <c r="P5" s="62">
        <f>O5+O5*E13/100</f>
        <v>80.63694672661714</v>
      </c>
      <c r="Q5" s="62">
        <f>O5+O5*E14/100</f>
        <v>82.427903799468965</v>
      </c>
      <c r="R5" s="62">
        <f>O5+O5*E15/100</f>
        <v>83.621875181370186</v>
      </c>
    </row>
    <row r="6" spans="2:23" ht="13.5" thickBot="1" x14ac:dyDescent="0.25">
      <c r="B6">
        <v>2030</v>
      </c>
      <c r="C6" s="61">
        <v>280.14699999999999</v>
      </c>
      <c r="D6" t="s">
        <v>1</v>
      </c>
      <c r="F6" s="2">
        <f>((C6/C3)^(1/(B6-B3))-1)*100</f>
        <v>0.46846697026283746</v>
      </c>
      <c r="G6" t="s">
        <v>2</v>
      </c>
      <c r="M6" s="51"/>
      <c r="N6" s="51" t="s">
        <v>19</v>
      </c>
      <c r="O6" s="62">
        <f>O4*N32</f>
        <v>21.633719609718238</v>
      </c>
      <c r="P6" s="62">
        <f>O6+O6*E24/100</f>
        <v>23.761096188566889</v>
      </c>
      <c r="Q6" s="62">
        <f>O6+O6*E25/100</f>
        <v>26.097670778200566</v>
      </c>
      <c r="R6" s="62">
        <f>O6+O6*E26/100</f>
        <v>28.664015104448865</v>
      </c>
    </row>
    <row r="7" spans="2:23" x14ac:dyDescent="0.2">
      <c r="C7" s="1"/>
      <c r="M7" s="50"/>
      <c r="N7" s="51" t="s">
        <v>167</v>
      </c>
      <c r="O7" s="52">
        <f>SUM(O5:O6)</f>
        <v>100</v>
      </c>
      <c r="P7" s="62">
        <f t="shared" ref="P7:Q7" si="0">SUM(P5:P6)</f>
        <v>104.39804291518402</v>
      </c>
      <c r="Q7" s="62">
        <f t="shared" si="0"/>
        <v>108.52557457766953</v>
      </c>
      <c r="R7" s="62">
        <f>SUM(R5:R6)</f>
        <v>112.28589028581905</v>
      </c>
    </row>
    <row r="8" spans="2:23" x14ac:dyDescent="0.2">
      <c r="C8" s="1"/>
      <c r="M8" s="50"/>
      <c r="N8" s="51" t="s">
        <v>168</v>
      </c>
      <c r="O8" s="50"/>
      <c r="P8" s="62">
        <f>O4-P7</f>
        <v>-4.3980429151840212</v>
      </c>
      <c r="Q8" s="62">
        <f>O4-Q7</f>
        <v>-8.5255745776695306</v>
      </c>
      <c r="R8" s="62">
        <f>O4-R7</f>
        <v>-12.28589028581905</v>
      </c>
    </row>
    <row r="9" spans="2:23" x14ac:dyDescent="0.2">
      <c r="C9" s="1"/>
      <c r="M9" s="50"/>
      <c r="N9" s="50"/>
      <c r="O9" s="50"/>
      <c r="P9" s="62"/>
      <c r="Q9" s="62"/>
      <c r="R9" s="50"/>
    </row>
    <row r="10" spans="2:23" x14ac:dyDescent="0.2">
      <c r="C10">
        <v>2010</v>
      </c>
      <c r="D10">
        <v>2011</v>
      </c>
      <c r="E10">
        <v>2012</v>
      </c>
      <c r="F10">
        <v>2013</v>
      </c>
      <c r="G10">
        <v>2014</v>
      </c>
      <c r="H10">
        <v>2015</v>
      </c>
    </row>
    <row r="11" spans="2:23" x14ac:dyDescent="0.2">
      <c r="C11" s="1">
        <f>C3</f>
        <v>255.14699999999999</v>
      </c>
      <c r="D11" s="1">
        <f>C11+C11*$F$4/100</f>
        <v>256.60873430799961</v>
      </c>
      <c r="E11" s="1">
        <f>D11+D11*$F$4/100</f>
        <v>258.07884287549354</v>
      </c>
      <c r="F11" s="1">
        <f>E11+E11*$F$4/100</f>
        <v>259.55737367852066</v>
      </c>
      <c r="G11" s="1">
        <f>F11+F11*$F$4/100</f>
        <v>261.04437496797408</v>
      </c>
      <c r="H11" s="1">
        <f>G11+G11*$F$4/100</f>
        <v>262.53989527117579</v>
      </c>
      <c r="I11" s="1"/>
      <c r="P11" s="1"/>
      <c r="Q11" s="1"/>
      <c r="R11" s="1"/>
      <c r="S11" s="1"/>
      <c r="T11" s="1"/>
      <c r="U11" s="1"/>
      <c r="V11" s="1"/>
      <c r="W11" s="1"/>
    </row>
    <row r="12" spans="2:23" x14ac:dyDescent="0.2">
      <c r="U12" s="1"/>
      <c r="V12" s="1"/>
      <c r="W12" s="1"/>
    </row>
    <row r="13" spans="2:23" x14ac:dyDescent="0.2">
      <c r="C13" s="1" t="s">
        <v>155</v>
      </c>
      <c r="E13" s="2">
        <f>(C4-H11)/H11*100</f>
        <v>2.8975042901448815</v>
      </c>
      <c r="F13" t="s">
        <v>2</v>
      </c>
    </row>
    <row r="14" spans="2:23" x14ac:dyDescent="0.2">
      <c r="C14" t="s">
        <v>166</v>
      </c>
      <c r="E14" s="2">
        <f>(C5-H11)/H11*100</f>
        <v>5.1828712412524975</v>
      </c>
      <c r="F14" t="s">
        <v>2</v>
      </c>
    </row>
    <row r="15" spans="2:23" x14ac:dyDescent="0.2">
      <c r="C15" t="s">
        <v>145</v>
      </c>
      <c r="E15" s="2">
        <f>(C6-H11)/H11*100</f>
        <v>6.7064492086575767</v>
      </c>
      <c r="F15" t="s">
        <v>2</v>
      </c>
    </row>
    <row r="17" spans="2:23" x14ac:dyDescent="0.2">
      <c r="B17" s="4" t="s">
        <v>5</v>
      </c>
    </row>
    <row r="18" spans="2:23" ht="13.5" thickBot="1" x14ac:dyDescent="0.25"/>
    <row r="19" spans="2:23" ht="14.25" thickTop="1" thickBot="1" x14ac:dyDescent="0.25">
      <c r="C19" s="9" t="s">
        <v>4</v>
      </c>
      <c r="D19" s="63">
        <v>1.8936348648237171</v>
      </c>
      <c r="E19" t="s">
        <v>2</v>
      </c>
    </row>
    <row r="20" spans="2:23" ht="13.5" thickTop="1" x14ac:dyDescent="0.2"/>
    <row r="21" spans="2:23" x14ac:dyDescent="0.2">
      <c r="C21">
        <v>2010</v>
      </c>
      <c r="D21">
        <v>2011</v>
      </c>
      <c r="E21">
        <v>2012</v>
      </c>
      <c r="F21">
        <v>2013</v>
      </c>
      <c r="G21">
        <v>2014</v>
      </c>
      <c r="H21">
        <v>2015</v>
      </c>
      <c r="I21">
        <v>2016</v>
      </c>
      <c r="J21">
        <v>2017</v>
      </c>
      <c r="K21">
        <v>2018</v>
      </c>
      <c r="L21">
        <v>2019</v>
      </c>
      <c r="M21">
        <v>2020</v>
      </c>
      <c r="N21">
        <v>2021</v>
      </c>
      <c r="O21">
        <v>2022</v>
      </c>
      <c r="P21">
        <v>2023</v>
      </c>
      <c r="Q21">
        <v>2024</v>
      </c>
      <c r="R21">
        <v>2025</v>
      </c>
      <c r="S21">
        <v>2026</v>
      </c>
      <c r="T21">
        <v>2027</v>
      </c>
      <c r="U21">
        <v>2028</v>
      </c>
      <c r="V21">
        <v>2029</v>
      </c>
      <c r="W21">
        <v>2030</v>
      </c>
    </row>
    <row r="22" spans="2:23" x14ac:dyDescent="0.2">
      <c r="C22" s="2">
        <v>100</v>
      </c>
      <c r="D22" s="2">
        <f>C22+C22*$D$19/100</f>
        <v>101.89363486482372</v>
      </c>
      <c r="E22" s="2">
        <f t="shared" ref="E22:K22" si="1">D22+D22*$D$19/100</f>
        <v>103.82312825966019</v>
      </c>
      <c r="F22" s="2">
        <f t="shared" si="1"/>
        <v>105.78915921413576</v>
      </c>
      <c r="G22" s="2">
        <f t="shared" si="1"/>
        <v>107.79241961621851</v>
      </c>
      <c r="H22" s="2">
        <f t="shared" si="1"/>
        <v>109.8336144557083</v>
      </c>
      <c r="I22" s="2">
        <f t="shared" si="1"/>
        <v>111.91346207233765</v>
      </c>
      <c r="J22" s="2">
        <f t="shared" si="1"/>
        <v>114.03269440857071</v>
      </c>
      <c r="K22" s="2">
        <f t="shared" si="1"/>
        <v>116.19205726718928</v>
      </c>
      <c r="L22" s="2">
        <f t="shared" ref="L22" si="2">K22+K22*$D$19/100</f>
        <v>118.39231057375672</v>
      </c>
      <c r="M22" s="2">
        <f t="shared" ref="M22" si="3">L22+L22*$D$19/100</f>
        <v>120.63422864405175</v>
      </c>
      <c r="N22" s="2">
        <f t="shared" ref="N22" si="4">M22+M22*$D$19/100</f>
        <v>122.91860045656667</v>
      </c>
      <c r="O22" s="2">
        <f t="shared" ref="O22" si="5">N22+N22*$D$19/100</f>
        <v>125.24622993016558</v>
      </c>
      <c r="P22" s="2">
        <f t="shared" ref="P22" si="6">O22+O22*$D$19/100</f>
        <v>127.61793620700048</v>
      </c>
      <c r="Q22" s="2">
        <f t="shared" ref="Q22" si="7">P22+P22*$D$19/100</f>
        <v>130.03455394078475</v>
      </c>
      <c r="R22" s="2">
        <f t="shared" ref="R22" si="8">Q22+Q22*$D$19/100</f>
        <v>132.49693359052546</v>
      </c>
      <c r="S22" s="2">
        <f t="shared" ref="S22" si="9">R22+R22*$D$19/100</f>
        <v>135.00594171981797</v>
      </c>
      <c r="T22" s="2">
        <f t="shared" ref="T22" si="10">S22+S22*$D$19/100</f>
        <v>137.56246130180804</v>
      </c>
      <c r="U22" s="2">
        <f t="shared" ref="U22" si="11">T22+T22*$D$19/100</f>
        <v>140.16739202992872</v>
      </c>
      <c r="V22" s="2">
        <f t="shared" ref="V22" si="12">U22+U22*$D$19/100</f>
        <v>142.8216506345216</v>
      </c>
      <c r="W22" s="2">
        <f t="shared" ref="W22" si="13">V22+V22*$D$19/100</f>
        <v>145.52617120545364</v>
      </c>
    </row>
    <row r="24" spans="2:23" x14ac:dyDescent="0.2">
      <c r="C24" s="1" t="str">
        <f>C13</f>
        <v>increase 2015-2020</v>
      </c>
      <c r="E24" s="2">
        <f>(M22-$H$22)/$H$22*100</f>
        <v>9.8336144557082932</v>
      </c>
      <c r="F24" t="s">
        <v>2</v>
      </c>
    </row>
    <row r="25" spans="2:23" x14ac:dyDescent="0.2">
      <c r="C25" s="1" t="str">
        <f t="shared" ref="C25:C26" si="14">C14</f>
        <v>increase 2015-2025</v>
      </c>
      <c r="E25" s="2">
        <f>(R22-$H$22)/$H$22*100</f>
        <v>20.634228644051781</v>
      </c>
      <c r="F25" t="s">
        <v>2</v>
      </c>
      <c r="H25" s="2"/>
    </row>
    <row r="26" spans="2:23" x14ac:dyDescent="0.2">
      <c r="C26" s="1" t="str">
        <f t="shared" si="14"/>
        <v>increase 2015-2030</v>
      </c>
      <c r="E26" s="2">
        <f>(W22-$H$22)/$H$22*100</f>
        <v>32.496933590525494</v>
      </c>
      <c r="F26" t="s">
        <v>2</v>
      </c>
      <c r="H26" s="2"/>
    </row>
    <row r="27" spans="2:23" x14ac:dyDescent="0.2">
      <c r="H27" s="2"/>
    </row>
    <row r="28" spans="2:23" x14ac:dyDescent="0.2">
      <c r="B28" s="4" t="s">
        <v>169</v>
      </c>
      <c r="H28" s="2"/>
    </row>
    <row r="29" spans="2:23" x14ac:dyDescent="0.2">
      <c r="H29" s="2"/>
    </row>
    <row r="30" spans="2:23" ht="13.5" thickBot="1" x14ac:dyDescent="0.25">
      <c r="B30" s="5" t="s">
        <v>6</v>
      </c>
      <c r="C30" s="65" t="s">
        <v>9</v>
      </c>
      <c r="D30" s="65" t="s">
        <v>10</v>
      </c>
      <c r="E30" s="65" t="s">
        <v>11</v>
      </c>
      <c r="F30" s="65" t="s">
        <v>12</v>
      </c>
      <c r="G30" s="298"/>
      <c r="H30" s="7" t="str">
        <f>C30</f>
        <v>baltic</v>
      </c>
      <c r="I30" s="7" t="str">
        <f t="shared" ref="I30:K30" si="15">D30</f>
        <v>black</v>
      </c>
      <c r="J30" s="7" t="str">
        <f t="shared" si="15"/>
        <v>med</v>
      </c>
      <c r="K30" s="7" t="str">
        <f t="shared" si="15"/>
        <v>north</v>
      </c>
      <c r="M30" t="s">
        <v>13</v>
      </c>
      <c r="N30" t="s">
        <v>13</v>
      </c>
    </row>
    <row r="31" spans="2:23" ht="13.5" thickTop="1" x14ac:dyDescent="0.2">
      <c r="B31" s="64" t="s">
        <v>14</v>
      </c>
      <c r="C31" s="66">
        <v>0.48235016517225104</v>
      </c>
      <c r="D31" s="67">
        <v>0.82119931110067323</v>
      </c>
      <c r="E31" s="67">
        <v>0.91430330549890326</v>
      </c>
      <c r="F31" s="68">
        <v>0.32615273040443299</v>
      </c>
      <c r="G31" s="299"/>
      <c r="H31" s="8">
        <f>C31+C$33*C31/(C$31+C$32)</f>
        <v>0.58189581554227154</v>
      </c>
      <c r="I31" s="8">
        <f t="shared" ref="I31:K32" si="16">D31+D$33*D31/(D$31+D$32)</f>
        <v>0.86665565102445474</v>
      </c>
      <c r="J31" s="8">
        <f t="shared" si="16"/>
        <v>0.94244575780413309</v>
      </c>
      <c r="K31" s="8">
        <f t="shared" si="16"/>
        <v>0.54090319670744758</v>
      </c>
      <c r="M31" s="76">
        <v>0.62733354100954741</v>
      </c>
      <c r="N31" s="74">
        <f>M31+M$33*M31/(M$31+M$32)</f>
        <v>0.78366280390281762</v>
      </c>
    </row>
    <row r="32" spans="2:23" x14ac:dyDescent="0.2">
      <c r="B32" s="64" t="s">
        <v>7</v>
      </c>
      <c r="C32" s="69">
        <v>0.34657857479943371</v>
      </c>
      <c r="D32" s="8">
        <v>0.12635039924847347</v>
      </c>
      <c r="E32" s="8">
        <v>5.5835610112748679E-2</v>
      </c>
      <c r="F32" s="70">
        <v>0.27682527451358119</v>
      </c>
      <c r="G32" s="299"/>
      <c r="H32" s="8">
        <f t="shared" ref="H32" si="17">C32+C$33*C32/(C$31+C$32)</f>
        <v>0.41810418445772846</v>
      </c>
      <c r="I32" s="8">
        <f t="shared" si="16"/>
        <v>0.13334434897554528</v>
      </c>
      <c r="J32" s="8">
        <f t="shared" si="16"/>
        <v>5.7554242195866884E-2</v>
      </c>
      <c r="K32" s="8">
        <f t="shared" si="16"/>
        <v>0.45909680329255226</v>
      </c>
      <c r="M32" s="77">
        <v>0.1731810909026536</v>
      </c>
      <c r="N32" s="74">
        <f>M32+M$33*M32/(M$31+M$32)</f>
        <v>0.21633719609718238</v>
      </c>
    </row>
    <row r="33" spans="2:14" ht="13.5" thickBot="1" x14ac:dyDescent="0.25">
      <c r="B33" s="64" t="s">
        <v>8</v>
      </c>
      <c r="C33" s="71">
        <v>0.17107126002831524</v>
      </c>
      <c r="D33" s="72">
        <v>5.2450289650853299E-2</v>
      </c>
      <c r="E33" s="72">
        <v>2.986108438834802E-2</v>
      </c>
      <c r="F33" s="73">
        <v>0.39702199508198577</v>
      </c>
      <c r="G33" s="299"/>
      <c r="H33" s="301"/>
      <c r="I33" s="302"/>
      <c r="J33" s="302"/>
      <c r="K33" s="303"/>
      <c r="M33" s="78">
        <v>0.19948536808779901</v>
      </c>
    </row>
    <row r="34" spans="2:14" ht="13.5" thickTop="1" x14ac:dyDescent="0.2">
      <c r="B34" s="289"/>
      <c r="C34" s="304"/>
      <c r="D34" s="304"/>
      <c r="E34" s="304"/>
      <c r="F34" s="305"/>
      <c r="G34" s="300"/>
      <c r="H34" s="8">
        <f>SUM(H31:H33)</f>
        <v>1</v>
      </c>
      <c r="I34" s="8">
        <f t="shared" ref="I34:K34" si="18">SUM(I31:I33)</f>
        <v>1</v>
      </c>
      <c r="J34" s="8">
        <f t="shared" si="18"/>
        <v>1</v>
      </c>
      <c r="K34" s="8">
        <f t="shared" si="18"/>
        <v>0.99999999999999978</v>
      </c>
      <c r="M34" s="75">
        <f>SUM(M31:M33)</f>
        <v>1</v>
      </c>
      <c r="N34" s="3">
        <f>SUM(N31:N33)</f>
        <v>1</v>
      </c>
    </row>
  </sheetData>
  <mergeCells count="3">
    <mergeCell ref="G30:G34"/>
    <mergeCell ref="H33:K33"/>
    <mergeCell ref="B34:F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D87"/>
  </sheetPr>
  <dimension ref="A2:AR217"/>
  <sheetViews>
    <sheetView topLeftCell="A144" workbookViewId="0">
      <selection activeCell="E163" sqref="E163"/>
    </sheetView>
  </sheetViews>
  <sheetFormatPr defaultRowHeight="12.75" x14ac:dyDescent="0.2"/>
  <cols>
    <col min="2" max="2" width="15.5703125" bestFit="1" customWidth="1"/>
    <col min="4" max="4" width="24" customWidth="1"/>
    <col min="5" max="5" width="13.28515625" customWidth="1"/>
    <col min="6" max="6" width="14.28515625" customWidth="1"/>
    <col min="7" max="7" width="18.42578125" bestFit="1" customWidth="1"/>
    <col min="8" max="8" width="9.140625" style="1"/>
    <col min="15" max="15" width="10" bestFit="1" customWidth="1"/>
    <col min="17" max="17" width="20" customWidth="1"/>
    <col min="18" max="18" width="9.140625" style="1"/>
    <col min="19" max="19" width="20.42578125" bestFit="1" customWidth="1"/>
    <col min="26" max="26" width="20.5703125" customWidth="1"/>
    <col min="27" max="27" width="10" bestFit="1" customWidth="1"/>
    <col min="29" max="29" width="14.85546875" bestFit="1" customWidth="1"/>
    <col min="36" max="36" width="21.85546875" customWidth="1"/>
    <col min="38" max="38" width="10.7109375" bestFit="1" customWidth="1"/>
    <col min="39" max="39" width="14.85546875" bestFit="1" customWidth="1"/>
  </cols>
  <sheetData>
    <row r="2" spans="2:44" x14ac:dyDescent="0.2">
      <c r="E2" s="53"/>
    </row>
    <row r="3" spans="2:44" ht="20.25" x14ac:dyDescent="0.3">
      <c r="B3" s="23" t="s">
        <v>102</v>
      </c>
      <c r="C3" s="23"/>
      <c r="D3" s="23"/>
      <c r="L3" s="24" t="s">
        <v>103</v>
      </c>
      <c r="P3" s="23" t="s">
        <v>15</v>
      </c>
    </row>
    <row r="5" spans="2:44" x14ac:dyDescent="0.2">
      <c r="P5" s="85">
        <v>2020</v>
      </c>
      <c r="Q5" s="25"/>
      <c r="R5" s="26"/>
      <c r="S5" s="25"/>
      <c r="T5" s="25"/>
      <c r="U5" s="25"/>
      <c r="V5" s="306" t="s">
        <v>95</v>
      </c>
      <c r="W5" s="306"/>
      <c r="X5" s="25"/>
      <c r="Z5" s="85">
        <v>2025</v>
      </c>
      <c r="AA5" s="25"/>
      <c r="AB5" s="26"/>
      <c r="AC5" s="25"/>
      <c r="AD5" s="25"/>
      <c r="AE5" s="25"/>
      <c r="AF5" s="306" t="s">
        <v>95</v>
      </c>
      <c r="AG5" s="306"/>
      <c r="AH5" s="25"/>
      <c r="AJ5" s="85">
        <v>2030</v>
      </c>
      <c r="AK5" s="25"/>
      <c r="AL5" s="26"/>
      <c r="AM5" s="25"/>
      <c r="AN5" s="25"/>
      <c r="AO5" s="25"/>
      <c r="AP5" s="306" t="s">
        <v>95</v>
      </c>
      <c r="AQ5" s="306"/>
      <c r="AR5" s="25"/>
    </row>
    <row r="6" spans="2:44" x14ac:dyDescent="0.2">
      <c r="B6" s="84" t="s">
        <v>0</v>
      </c>
      <c r="C6" s="1"/>
      <c r="E6" s="54"/>
      <c r="J6" s="2"/>
      <c r="P6" s="25"/>
      <c r="Q6" s="25"/>
      <c r="R6" s="26"/>
      <c r="S6" s="25"/>
      <c r="T6" s="25"/>
      <c r="U6" s="25"/>
      <c r="V6" s="26"/>
      <c r="W6" s="25"/>
      <c r="X6" s="25"/>
      <c r="Z6" s="25"/>
      <c r="AA6" s="25"/>
      <c r="AB6" s="26"/>
      <c r="AC6" s="25"/>
      <c r="AD6" s="25"/>
      <c r="AE6" s="25"/>
      <c r="AF6" s="26"/>
      <c r="AG6" s="25"/>
      <c r="AH6" s="25"/>
      <c r="AJ6" s="25"/>
      <c r="AK6" s="25"/>
      <c r="AL6" s="26"/>
      <c r="AM6" s="25"/>
      <c r="AN6" s="25"/>
      <c r="AO6" s="25"/>
      <c r="AP6" s="26"/>
      <c r="AQ6" s="25"/>
      <c r="AR6" s="25"/>
    </row>
    <row r="7" spans="2:44" x14ac:dyDescent="0.2">
      <c r="B7" t="s">
        <v>170</v>
      </c>
      <c r="P7" s="25"/>
      <c r="Q7" s="27" t="s">
        <v>16</v>
      </c>
      <c r="R7" s="28">
        <v>100</v>
      </c>
      <c r="S7" s="25"/>
      <c r="T7" s="25"/>
      <c r="U7" s="25"/>
      <c r="V7" s="25"/>
      <c r="W7" s="25"/>
      <c r="X7" s="25"/>
      <c r="Z7" s="25"/>
      <c r="AA7" s="27" t="s">
        <v>193</v>
      </c>
      <c r="AB7" s="28">
        <v>100</v>
      </c>
      <c r="AC7" s="25"/>
      <c r="AD7" s="25"/>
      <c r="AE7" s="25"/>
      <c r="AF7" s="25"/>
      <c r="AG7" s="25"/>
      <c r="AH7" s="25"/>
      <c r="AJ7" s="25"/>
      <c r="AK7" s="27" t="s">
        <v>16</v>
      </c>
      <c r="AL7" s="28">
        <v>100</v>
      </c>
      <c r="AM7" s="25"/>
      <c r="AN7" s="25"/>
      <c r="AO7" s="25"/>
      <c r="AP7" s="25"/>
      <c r="AQ7" s="25"/>
      <c r="AR7" s="25"/>
    </row>
    <row r="8" spans="2:44" x14ac:dyDescent="0.2">
      <c r="B8" s="86" t="str">
        <f>'baseline BAU'!C13</f>
        <v>increase 2015-2020</v>
      </c>
      <c r="C8" s="2">
        <f>'baseline BAU'!E13</f>
        <v>2.8975042901448815</v>
      </c>
      <c r="D8" t="s">
        <v>2</v>
      </c>
      <c r="H8"/>
      <c r="P8" s="27"/>
      <c r="Q8" s="27" t="s">
        <v>17</v>
      </c>
      <c r="R8" s="28">
        <f>R7*$C$25</f>
        <v>78.366280390281759</v>
      </c>
      <c r="S8" s="25"/>
      <c r="T8" s="25"/>
      <c r="U8" s="25"/>
      <c r="V8" s="25"/>
      <c r="W8" s="25"/>
      <c r="X8" s="25"/>
      <c r="Z8" s="27"/>
      <c r="AA8" s="27" t="s">
        <v>171</v>
      </c>
      <c r="AB8" s="28">
        <f>AB7*$C$25</f>
        <v>78.366280390281759</v>
      </c>
      <c r="AC8" s="25"/>
      <c r="AD8" s="25"/>
      <c r="AE8" s="25"/>
      <c r="AF8" s="25"/>
      <c r="AG8" s="25"/>
      <c r="AH8" s="25"/>
      <c r="AJ8" s="27"/>
      <c r="AK8" s="27" t="s">
        <v>17</v>
      </c>
      <c r="AL8" s="28">
        <f>AL7*$C$25</f>
        <v>78.366280390281759</v>
      </c>
      <c r="AM8" s="25"/>
      <c r="AN8" s="25"/>
      <c r="AO8" s="25"/>
      <c r="AP8" s="25"/>
      <c r="AQ8" s="25"/>
      <c r="AR8" s="25"/>
    </row>
    <row r="9" spans="2:44" x14ac:dyDescent="0.2">
      <c r="B9" s="86" t="str">
        <f>'baseline BAU'!C14</f>
        <v>increase 2015-2025</v>
      </c>
      <c r="C9" s="2">
        <f>'baseline BAU'!E14</f>
        <v>5.1828712412524975</v>
      </c>
      <c r="D9" t="s">
        <v>2</v>
      </c>
      <c r="E9" s="1"/>
      <c r="F9" s="1"/>
      <c r="G9" s="1"/>
      <c r="I9" s="1"/>
      <c r="J9" s="1"/>
      <c r="K9" s="1"/>
      <c r="P9" s="27"/>
      <c r="Q9" s="27" t="s">
        <v>19</v>
      </c>
      <c r="R9" s="28">
        <f>R7*$C$26</f>
        <v>21.633719609718238</v>
      </c>
      <c r="S9" s="25"/>
      <c r="T9" s="25"/>
      <c r="U9" s="25"/>
      <c r="V9" s="26"/>
      <c r="W9" s="25"/>
      <c r="X9" s="25"/>
      <c r="Z9" s="27"/>
      <c r="AA9" s="27" t="s">
        <v>172</v>
      </c>
      <c r="AB9" s="28">
        <f>AB7*$C$26</f>
        <v>21.633719609718238</v>
      </c>
      <c r="AC9" s="25"/>
      <c r="AD9" s="25"/>
      <c r="AE9" s="25"/>
      <c r="AF9" s="26"/>
      <c r="AG9" s="25"/>
      <c r="AH9" s="25"/>
      <c r="AJ9" s="27"/>
      <c r="AK9" s="27" t="s">
        <v>19</v>
      </c>
      <c r="AL9" s="28">
        <f>AL7*$C$26</f>
        <v>21.633719609718238</v>
      </c>
      <c r="AM9" s="25"/>
      <c r="AN9" s="25"/>
      <c r="AO9" s="25"/>
      <c r="AP9" s="26"/>
      <c r="AQ9" s="25"/>
      <c r="AR9" s="25"/>
    </row>
    <row r="10" spans="2:44" x14ac:dyDescent="0.2">
      <c r="B10" s="86" t="str">
        <f>'baseline BAU'!C15</f>
        <v>increase 2015-2030</v>
      </c>
      <c r="C10" s="2">
        <f>'baseline BAU'!E15</f>
        <v>6.7064492086575767</v>
      </c>
      <c r="D10" t="s">
        <v>2</v>
      </c>
      <c r="P10" s="25"/>
      <c r="Q10" s="25"/>
      <c r="R10" s="26"/>
      <c r="S10" s="25"/>
      <c r="T10" s="25"/>
      <c r="U10" s="25"/>
      <c r="V10" s="26"/>
      <c r="W10" s="25"/>
      <c r="X10" s="25"/>
      <c r="Z10" s="25"/>
      <c r="AA10" s="25"/>
      <c r="AB10" s="26"/>
      <c r="AC10" s="25"/>
      <c r="AD10" s="25"/>
      <c r="AE10" s="25"/>
      <c r="AF10" s="26"/>
      <c r="AG10" s="25"/>
      <c r="AH10" s="25"/>
      <c r="AJ10" s="25"/>
      <c r="AK10" s="25"/>
      <c r="AL10" s="26"/>
      <c r="AM10" s="25"/>
      <c r="AN10" s="25"/>
      <c r="AO10" s="25"/>
      <c r="AP10" s="26"/>
      <c r="AQ10" s="25"/>
      <c r="AR10" s="25"/>
    </row>
    <row r="11" spans="2:44" x14ac:dyDescent="0.2">
      <c r="P11" s="25"/>
      <c r="Q11" s="27" t="s">
        <v>18</v>
      </c>
      <c r="R11" s="28">
        <f>R8+R8*C8/100</f>
        <v>80.63694672661714</v>
      </c>
      <c r="S11" s="27"/>
      <c r="T11" s="26"/>
      <c r="U11" s="25"/>
      <c r="V11" s="25"/>
      <c r="W11" s="25"/>
      <c r="X11" s="25"/>
      <c r="Z11" s="25"/>
      <c r="AA11" s="27" t="s">
        <v>171</v>
      </c>
      <c r="AB11" s="28">
        <f>AB8+AB8*C9/100</f>
        <v>82.427903799468965</v>
      </c>
      <c r="AC11" s="27"/>
      <c r="AD11" s="26"/>
      <c r="AE11" s="25"/>
      <c r="AF11" s="25"/>
      <c r="AG11" s="25"/>
      <c r="AH11" s="25"/>
      <c r="AJ11" s="25"/>
      <c r="AK11" s="27" t="s">
        <v>146</v>
      </c>
      <c r="AL11" s="28">
        <f>AL8+AL8*C10/100</f>
        <v>83.621875181370186</v>
      </c>
      <c r="AM11" s="27"/>
      <c r="AN11" s="26"/>
      <c r="AO11" s="25"/>
      <c r="AP11" s="25"/>
      <c r="AQ11" s="25"/>
      <c r="AR11" s="25"/>
    </row>
    <row r="12" spans="2:44" x14ac:dyDescent="0.2">
      <c r="H12" s="2"/>
      <c r="P12" s="25"/>
      <c r="Q12" s="27" t="s">
        <v>20</v>
      </c>
      <c r="R12" s="28">
        <f>R9+R9*C16/100</f>
        <v>23.761096188566889</v>
      </c>
      <c r="S12" s="27"/>
      <c r="T12" s="26"/>
      <c r="U12" s="25"/>
      <c r="V12" s="25"/>
      <c r="W12" s="25"/>
      <c r="X12" s="25"/>
      <c r="Z12" s="25"/>
      <c r="AA12" s="27" t="s">
        <v>172</v>
      </c>
      <c r="AB12" s="28">
        <f>AB9+AB9*C17/100</f>
        <v>26.097670778200566</v>
      </c>
      <c r="AC12" s="27"/>
      <c r="AD12" s="26"/>
      <c r="AE12" s="25"/>
      <c r="AF12" s="25"/>
      <c r="AG12" s="25"/>
      <c r="AH12" s="25"/>
      <c r="AJ12" s="25"/>
      <c r="AK12" s="27" t="s">
        <v>147</v>
      </c>
      <c r="AL12" s="28">
        <f>AL9+AL9*C18/100</f>
        <v>28.664015104448865</v>
      </c>
      <c r="AM12" s="27"/>
      <c r="AN12" s="26"/>
      <c r="AO12" s="25"/>
      <c r="AP12" s="25"/>
      <c r="AQ12" s="25"/>
      <c r="AR12" s="25"/>
    </row>
    <row r="13" spans="2:44" x14ac:dyDescent="0.2">
      <c r="P13" s="25"/>
      <c r="Q13" s="27" t="s">
        <v>98</v>
      </c>
      <c r="R13" s="28">
        <f>SUM(R11:R12)</f>
        <v>104.39804291518402</v>
      </c>
      <c r="S13" s="27"/>
      <c r="T13" s="26"/>
      <c r="U13" s="25"/>
      <c r="V13" s="26"/>
      <c r="W13" s="25"/>
      <c r="X13" s="25"/>
      <c r="Z13" s="25"/>
      <c r="AA13" s="27" t="s">
        <v>173</v>
      </c>
      <c r="AB13" s="28">
        <f>SUM(AB11:AB12)</f>
        <v>108.52557457766953</v>
      </c>
      <c r="AC13" s="27"/>
      <c r="AD13" s="26"/>
      <c r="AE13" s="25"/>
      <c r="AF13" s="26"/>
      <c r="AG13" s="25"/>
      <c r="AH13" s="25"/>
      <c r="AJ13" s="25"/>
      <c r="AK13" s="27" t="s">
        <v>150</v>
      </c>
      <c r="AL13" s="28">
        <f>SUM(AL11:AL12)</f>
        <v>112.28589028581905</v>
      </c>
      <c r="AM13" s="27"/>
      <c r="AN13" s="26"/>
      <c r="AO13" s="25"/>
      <c r="AP13" s="26"/>
      <c r="AQ13" s="25"/>
      <c r="AR13" s="25"/>
    </row>
    <row r="14" spans="2:44" x14ac:dyDescent="0.2">
      <c r="B14" s="84" t="s">
        <v>5</v>
      </c>
      <c r="C14" s="53"/>
      <c r="P14" s="25"/>
      <c r="Q14" s="27"/>
      <c r="R14" s="26"/>
      <c r="S14" s="27"/>
      <c r="T14" s="25"/>
      <c r="U14" s="25"/>
      <c r="V14" s="25"/>
      <c r="W14" s="25"/>
      <c r="X14" s="25"/>
      <c r="Z14" s="25"/>
      <c r="AA14" s="27"/>
      <c r="AB14" s="26"/>
      <c r="AC14" s="27"/>
      <c r="AD14" s="25"/>
      <c r="AE14" s="25"/>
      <c r="AF14" s="25"/>
      <c r="AG14" s="25"/>
      <c r="AH14" s="25"/>
      <c r="AJ14" s="25"/>
      <c r="AK14" s="27"/>
      <c r="AL14" s="26"/>
      <c r="AM14" s="27"/>
      <c r="AN14" s="25"/>
      <c r="AO14" s="25"/>
      <c r="AP14" s="25"/>
      <c r="AQ14" s="25"/>
      <c r="AR14" s="25"/>
    </row>
    <row r="15" spans="2:44" x14ac:dyDescent="0.2">
      <c r="B15" t="s">
        <v>170</v>
      </c>
      <c r="P15" s="25"/>
      <c r="Q15" s="27" t="s">
        <v>48</v>
      </c>
      <c r="R15" s="28">
        <f>R11*$I$71/100</f>
        <v>49.018983027633332</v>
      </c>
      <c r="S15" s="27"/>
      <c r="T15" s="25"/>
      <c r="U15" s="25"/>
      <c r="V15" s="25"/>
      <c r="W15" s="25"/>
      <c r="X15" s="25"/>
      <c r="Z15" s="25"/>
      <c r="AA15" s="27" t="s">
        <v>48</v>
      </c>
      <c r="AB15" s="28">
        <f>AB11*$I$71/100</f>
        <v>50.107701015120881</v>
      </c>
      <c r="AC15" s="27"/>
      <c r="AD15" s="25"/>
      <c r="AE15" s="25"/>
      <c r="AF15" s="25"/>
      <c r="AG15" s="25"/>
      <c r="AH15" s="25"/>
      <c r="AJ15" s="25"/>
      <c r="AK15" s="27" t="s">
        <v>48</v>
      </c>
      <c r="AL15" s="28">
        <f>AL11*$I$71/100</f>
        <v>50.833513006779249</v>
      </c>
      <c r="AM15" s="27"/>
      <c r="AN15" s="25"/>
      <c r="AO15" s="25"/>
      <c r="AP15" s="25"/>
      <c r="AQ15" s="25"/>
      <c r="AR15" s="25"/>
    </row>
    <row r="16" spans="2:44" x14ac:dyDescent="0.2">
      <c r="B16" s="87" t="str">
        <f>'baseline BAU'!C24</f>
        <v>increase 2015-2020</v>
      </c>
      <c r="C16" s="2">
        <f>'baseline BAU'!E24</f>
        <v>9.8336144557082932</v>
      </c>
      <c r="D16" t="s">
        <v>2</v>
      </c>
      <c r="P16" s="25"/>
      <c r="Q16" s="27" t="s">
        <v>46</v>
      </c>
      <c r="R16" s="28">
        <f>R12*$I$72/100</f>
        <v>1.7516626527831847</v>
      </c>
      <c r="S16" s="27"/>
      <c r="T16" s="25"/>
      <c r="U16" s="25"/>
      <c r="V16" s="25"/>
      <c r="W16" s="25"/>
      <c r="X16" s="25"/>
      <c r="Z16" s="25"/>
      <c r="AA16" s="27" t="s">
        <v>46</v>
      </c>
      <c r="AB16" s="28">
        <f>AB12*$I$72/100</f>
        <v>1.9239144046225161</v>
      </c>
      <c r="AC16" s="27"/>
      <c r="AD16" s="25"/>
      <c r="AE16" s="25"/>
      <c r="AF16" s="25"/>
      <c r="AG16" s="25"/>
      <c r="AH16" s="25"/>
      <c r="AJ16" s="25"/>
      <c r="AK16" s="27" t="s">
        <v>46</v>
      </c>
      <c r="AL16" s="28">
        <f>AL12*$I$72/100</f>
        <v>2.1131047296309307</v>
      </c>
      <c r="AM16" s="27"/>
      <c r="AN16" s="25"/>
      <c r="AO16" s="25"/>
      <c r="AP16" s="25"/>
      <c r="AQ16" s="25"/>
      <c r="AR16" s="25"/>
    </row>
    <row r="17" spans="2:44" x14ac:dyDescent="0.2">
      <c r="B17" s="87" t="str">
        <f>'baseline BAU'!C25</f>
        <v>increase 2015-2025</v>
      </c>
      <c r="C17" s="2">
        <f>'baseline BAU'!E25</f>
        <v>20.634228644051781</v>
      </c>
      <c r="D17" t="s">
        <v>2</v>
      </c>
      <c r="P17" s="25"/>
      <c r="Q17" s="27"/>
      <c r="R17" s="26"/>
      <c r="S17" s="27"/>
      <c r="T17" s="25"/>
      <c r="U17" s="25"/>
      <c r="V17" s="25" t="s">
        <v>100</v>
      </c>
      <c r="W17" s="27" t="s">
        <v>101</v>
      </c>
      <c r="X17" s="25"/>
      <c r="Z17" s="25"/>
      <c r="AA17" s="27"/>
      <c r="AB17" s="26"/>
      <c r="AC17" s="27"/>
      <c r="AD17" s="25"/>
      <c r="AE17" s="25"/>
      <c r="AF17" s="25" t="s">
        <v>100</v>
      </c>
      <c r="AG17" s="27" t="s">
        <v>101</v>
      </c>
      <c r="AH17" s="25"/>
      <c r="AJ17" s="25"/>
      <c r="AK17" s="27"/>
      <c r="AL17" s="26"/>
      <c r="AM17" s="27"/>
      <c r="AN17" s="25"/>
      <c r="AO17" s="25"/>
      <c r="AP17" s="25" t="s">
        <v>100</v>
      </c>
      <c r="AQ17" s="27" t="s">
        <v>101</v>
      </c>
      <c r="AR17" s="25"/>
    </row>
    <row r="18" spans="2:44" x14ac:dyDescent="0.2">
      <c r="B18" s="87" t="str">
        <f>'baseline BAU'!C26</f>
        <v>increase 2015-2030</v>
      </c>
      <c r="C18" s="2">
        <f>'baseline BAU'!E26</f>
        <v>32.496933590525494</v>
      </c>
      <c r="D18" t="s">
        <v>2</v>
      </c>
      <c r="H18"/>
      <c r="P18" s="25"/>
      <c r="Q18" s="27" t="s">
        <v>25</v>
      </c>
      <c r="R18" s="28">
        <f>R11*$H$210/100</f>
        <v>49.250303615501892</v>
      </c>
      <c r="S18" s="27" t="s">
        <v>84</v>
      </c>
      <c r="T18" s="28">
        <f>$G$50</f>
        <v>3.72175390483488</v>
      </c>
      <c r="U18" s="25" t="s">
        <v>2</v>
      </c>
      <c r="V18" s="28">
        <f>R18-R18*T18/100</f>
        <v>47.417328517548917</v>
      </c>
      <c r="W18" s="28">
        <f>IF(V18&lt;(V25+V32),V18,(V25+V32))</f>
        <v>47.417328517548917</v>
      </c>
      <c r="X18" s="25"/>
      <c r="Z18" s="25"/>
      <c r="AA18" s="27" t="s">
        <v>25</v>
      </c>
      <c r="AB18" s="28">
        <f>AB11*$H$210/100</f>
        <v>50.344159263327001</v>
      </c>
      <c r="AC18" s="27" t="s">
        <v>84</v>
      </c>
      <c r="AD18" s="28">
        <f>$G$50</f>
        <v>3.72175390483488</v>
      </c>
      <c r="AE18" s="25" t="s">
        <v>2</v>
      </c>
      <c r="AF18" s="28">
        <f>AB18-AB18*AD18/100</f>
        <v>48.470473550087839</v>
      </c>
      <c r="AG18" s="28">
        <f>IF(AF18&lt;(AF25+AF32),AF18,(AF25+AF32))</f>
        <v>48.470473550087839</v>
      </c>
      <c r="AH18" s="25"/>
      <c r="AJ18" s="25"/>
      <c r="AK18" s="27" t="s">
        <v>25</v>
      </c>
      <c r="AL18" s="28">
        <f>AL11*$H$210/100</f>
        <v>51.073396361877073</v>
      </c>
      <c r="AM18" s="27" t="s">
        <v>84</v>
      </c>
      <c r="AN18" s="28">
        <f>$G$50</f>
        <v>3.72175390483488</v>
      </c>
      <c r="AO18" s="25" t="s">
        <v>2</v>
      </c>
      <c r="AP18" s="28">
        <f>AL18-AL18*AN18/100</f>
        <v>49.172570238447115</v>
      </c>
      <c r="AQ18" s="28">
        <f>IF(AP18&lt;(AP25+AP32),AP18,(AP25+AP32))</f>
        <v>49.172570238447115</v>
      </c>
      <c r="AR18" s="25"/>
    </row>
    <row r="19" spans="2:44" x14ac:dyDescent="0.2">
      <c r="C19" s="2"/>
      <c r="D19" s="2"/>
      <c r="E19" s="2"/>
      <c r="F19" s="2"/>
      <c r="G19" s="2"/>
      <c r="H19" s="2"/>
      <c r="I19" s="2"/>
      <c r="J19" s="2"/>
      <c r="K19" s="2"/>
      <c r="P19" s="25"/>
      <c r="Q19" s="27" t="s">
        <v>26</v>
      </c>
      <c r="R19" s="28">
        <f>R11*$H$211/100</f>
        <v>2.3816712014628534</v>
      </c>
      <c r="S19" s="27" t="s">
        <v>84</v>
      </c>
      <c r="T19" s="28">
        <f>$G$51</f>
        <v>54.175412615358866</v>
      </c>
      <c r="U19" s="25" t="s">
        <v>2</v>
      </c>
      <c r="V19" s="28">
        <f t="shared" ref="V19:V23" si="0">R19-R19*T19/100</f>
        <v>1.0913910009291776</v>
      </c>
      <c r="W19" s="28">
        <f>IF(V19&lt;(V26+V33),V19,(V26+V33))</f>
        <v>1.0913910009291776</v>
      </c>
      <c r="X19" s="25"/>
      <c r="Z19" s="25"/>
      <c r="AA19" s="27" t="s">
        <v>26</v>
      </c>
      <c r="AB19" s="28">
        <f>AB11*$H$211/100</f>
        <v>2.434568428560608</v>
      </c>
      <c r="AC19" s="27" t="s">
        <v>84</v>
      </c>
      <c r="AD19" s="28">
        <f>$G$51</f>
        <v>54.175412615358866</v>
      </c>
      <c r="AE19" s="25" t="s">
        <v>2</v>
      </c>
      <c r="AF19" s="28">
        <f t="shared" ref="AF19:AF21" si="1">AB19-AB19*AD19/100</f>
        <v>1.1156309369846402</v>
      </c>
      <c r="AG19" s="28">
        <f>IF(AF19&lt;(AF26+AF33),AF19,(AF26+AF33))</f>
        <v>1.1156309369846402</v>
      </c>
      <c r="AH19" s="25"/>
      <c r="AJ19" s="25"/>
      <c r="AK19" s="27" t="s">
        <v>26</v>
      </c>
      <c r="AL19" s="28">
        <f>AL11*$H$211/100</f>
        <v>2.469833246625778</v>
      </c>
      <c r="AM19" s="27" t="s">
        <v>84</v>
      </c>
      <c r="AN19" s="28">
        <f>$G$51</f>
        <v>54.175412615358866</v>
      </c>
      <c r="AO19" s="25" t="s">
        <v>2</v>
      </c>
      <c r="AP19" s="28">
        <f t="shared" ref="AP19:AP21" si="2">AL19-AL19*AN19/100</f>
        <v>1.1317908943549486</v>
      </c>
      <c r="AQ19" s="28">
        <f>IF(AP19&lt;(AP26+AP33),AP19,(AP26+AP33))</f>
        <v>1.1317908943549486</v>
      </c>
      <c r="AR19" s="25"/>
    </row>
    <row r="20" spans="2:44" x14ac:dyDescent="0.2">
      <c r="P20" s="25"/>
      <c r="Q20" s="27" t="s">
        <v>27</v>
      </c>
      <c r="R20" s="28">
        <f>R11*$H$212/100</f>
        <v>2.3348990450902742</v>
      </c>
      <c r="S20" s="27" t="s">
        <v>84</v>
      </c>
      <c r="T20" s="28">
        <f>$G$52</f>
        <v>15.72349052041027</v>
      </c>
      <c r="U20" s="25" t="s">
        <v>2</v>
      </c>
      <c r="V20" s="28">
        <f t="shared" si="0"/>
        <v>1.967771415074355</v>
      </c>
      <c r="W20" s="28">
        <f>IF(V20&lt;(V27+V34),V20,(V27+V34))</f>
        <v>1.967771415074355</v>
      </c>
      <c r="X20" s="25"/>
      <c r="Z20" s="25"/>
      <c r="AA20" s="27" t="s">
        <v>27</v>
      </c>
      <c r="AB20" s="28">
        <f>AB11*$H$212/100</f>
        <v>2.3867574565127283</v>
      </c>
      <c r="AC20" s="27" t="s">
        <v>84</v>
      </c>
      <c r="AD20" s="28">
        <f>$G$52</f>
        <v>15.72349052041027</v>
      </c>
      <c r="AE20" s="25" t="s">
        <v>2</v>
      </c>
      <c r="AF20" s="28">
        <f t="shared" si="1"/>
        <v>2.0114758740927643</v>
      </c>
      <c r="AG20" s="28">
        <f>IF(AF20&lt;(AF27+AF34),AF20,(AF27+AF34))</f>
        <v>2.0114758740927643</v>
      </c>
      <c r="AH20" s="25"/>
      <c r="AJ20" s="25"/>
      <c r="AK20" s="27" t="s">
        <v>27</v>
      </c>
      <c r="AL20" s="28">
        <f>AL11*$H$212/100</f>
        <v>2.4213297307943638</v>
      </c>
      <c r="AM20" s="27" t="s">
        <v>84</v>
      </c>
      <c r="AN20" s="28">
        <f>$G$52</f>
        <v>15.72349052041027</v>
      </c>
      <c r="AO20" s="25" t="s">
        <v>2</v>
      </c>
      <c r="AP20" s="28">
        <f t="shared" si="2"/>
        <v>2.0406121801050365</v>
      </c>
      <c r="AQ20" s="28">
        <f>IF(AP20&lt;(AP27+AP34),AP20,(AP27+AP34))</f>
        <v>2.0406121801050365</v>
      </c>
      <c r="AR20" s="25"/>
    </row>
    <row r="21" spans="2:44" x14ac:dyDescent="0.2">
      <c r="P21" s="25"/>
      <c r="Q21" s="27" t="s">
        <v>28</v>
      </c>
      <c r="R21" s="28">
        <f>R11*$H$213/100</f>
        <v>16.809670945221271</v>
      </c>
      <c r="S21" s="27" t="s">
        <v>84</v>
      </c>
      <c r="T21" s="28">
        <f>$G$53</f>
        <v>32.953929403991523</v>
      </c>
      <c r="U21" s="25" t="s">
        <v>2</v>
      </c>
      <c r="V21" s="28">
        <f t="shared" si="0"/>
        <v>11.270223848889778</v>
      </c>
      <c r="W21" s="28">
        <f>IF(V21&lt;(V28+V35),V21,(V28+V35))</f>
        <v>11.270223848889778</v>
      </c>
      <c r="X21" s="25"/>
      <c r="Z21" s="25"/>
      <c r="AA21" s="27" t="s">
        <v>28</v>
      </c>
      <c r="AB21" s="28">
        <f>AB11*$H$213/100</f>
        <v>17.183015922849478</v>
      </c>
      <c r="AC21" s="27" t="s">
        <v>84</v>
      </c>
      <c r="AD21" s="28">
        <f>$G$53</f>
        <v>32.953929403991523</v>
      </c>
      <c r="AE21" s="25" t="s">
        <v>2</v>
      </c>
      <c r="AF21" s="28">
        <f t="shared" si="1"/>
        <v>11.520536986157039</v>
      </c>
      <c r="AG21" s="28">
        <f>IF(AF21&lt;(AF28+AF35),AF21,(AF28+AF35))</f>
        <v>11.520536986157039</v>
      </c>
      <c r="AH21" s="25"/>
      <c r="AJ21" s="25"/>
      <c r="AK21" s="27" t="s">
        <v>28</v>
      </c>
      <c r="AL21" s="28">
        <f>AL11*$H$213/100</f>
        <v>17.431912574601618</v>
      </c>
      <c r="AM21" s="27" t="s">
        <v>84</v>
      </c>
      <c r="AN21" s="28">
        <f>$G$53</f>
        <v>32.953929403991523</v>
      </c>
      <c r="AO21" s="25" t="s">
        <v>2</v>
      </c>
      <c r="AP21" s="28">
        <f t="shared" si="2"/>
        <v>11.68741241100188</v>
      </c>
      <c r="AQ21" s="28">
        <f>IF(AP21&lt;(AP28+AP35),AP21,(AP28+AP35))</f>
        <v>11.68741241100188</v>
      </c>
      <c r="AR21" s="25"/>
    </row>
    <row r="22" spans="2:44" x14ac:dyDescent="0.2">
      <c r="H22" s="2"/>
      <c r="P22" s="25"/>
      <c r="Q22" s="27" t="s">
        <v>107</v>
      </c>
      <c r="R22" s="28">
        <f>R11*$H$214/100</f>
        <v>0.41146167138226708</v>
      </c>
      <c r="S22" s="27" t="s">
        <v>84</v>
      </c>
      <c r="T22" s="28">
        <f>$G$54</f>
        <v>0</v>
      </c>
      <c r="U22" s="25" t="s">
        <v>2</v>
      </c>
      <c r="V22" s="28">
        <f>R22-R22*T22/100</f>
        <v>0.41146167138226708</v>
      </c>
      <c r="W22" s="28">
        <f>IF(V22&lt;(V29+V37),V22,(V29+V37))</f>
        <v>0.41146167138226708</v>
      </c>
      <c r="X22" s="25"/>
      <c r="Z22" s="25"/>
      <c r="AA22" s="27" t="s">
        <v>107</v>
      </c>
      <c r="AB22" s="28">
        <f>AB11*$H$214/100</f>
        <v>0.42060028861027116</v>
      </c>
      <c r="AC22" s="27" t="s">
        <v>84</v>
      </c>
      <c r="AD22" s="28">
        <f>$G$54</f>
        <v>0</v>
      </c>
      <c r="AE22" s="25" t="s">
        <v>2</v>
      </c>
      <c r="AF22" s="28">
        <f>AB22-AB22*AD22/100</f>
        <v>0.42060028861027116</v>
      </c>
      <c r="AG22" s="28">
        <f>IF(AF22&lt;(AF29+AF37),AF22,(AF29+AF37))</f>
        <v>0.42060028861027116</v>
      </c>
      <c r="AH22" s="25"/>
      <c r="AJ22" s="25"/>
      <c r="AK22" s="27" t="s">
        <v>107</v>
      </c>
      <c r="AL22" s="28">
        <f>AL11*$H$214/100</f>
        <v>0.42669270009560711</v>
      </c>
      <c r="AM22" s="27" t="s">
        <v>84</v>
      </c>
      <c r="AN22" s="28">
        <f>$G$54</f>
        <v>0</v>
      </c>
      <c r="AO22" s="25" t="s">
        <v>2</v>
      </c>
      <c r="AP22" s="28">
        <f>AL22-AL22*AN22/100</f>
        <v>0.42669270009560711</v>
      </c>
      <c r="AQ22" s="28">
        <f>IF(AP22&lt;(AP29+AP37),AP22,(AP29+AP37))</f>
        <v>0.42669270009560711</v>
      </c>
      <c r="AR22" s="25"/>
    </row>
    <row r="23" spans="2:44" x14ac:dyDescent="0.2">
      <c r="B23" s="4" t="str">
        <f>'baseline BAU'!B28</f>
        <v>ratio industrial / consumer ML</v>
      </c>
      <c r="P23" s="25"/>
      <c r="Q23" s="27" t="s">
        <v>29</v>
      </c>
      <c r="R23" s="28">
        <f>R11*$H$215/100</f>
        <v>9.4489402479585731</v>
      </c>
      <c r="S23" s="27" t="s">
        <v>84</v>
      </c>
      <c r="T23" s="28">
        <f>$G$55</f>
        <v>0</v>
      </c>
      <c r="U23" s="25" t="s">
        <v>2</v>
      </c>
      <c r="V23" s="28">
        <f t="shared" si="0"/>
        <v>9.4489402479585731</v>
      </c>
      <c r="W23" s="28">
        <f>IF(V23&lt;(V30+V37),V23,(V30+V37))</f>
        <v>9.4489402479585731</v>
      </c>
      <c r="X23" s="25"/>
      <c r="Z23" s="25"/>
      <c r="AA23" s="27" t="s">
        <v>29</v>
      </c>
      <c r="AB23" s="28">
        <f>AB11*$H$215/100</f>
        <v>9.6588024396088663</v>
      </c>
      <c r="AC23" s="27" t="s">
        <v>84</v>
      </c>
      <c r="AD23" s="28">
        <f>$G$55</f>
        <v>0</v>
      </c>
      <c r="AE23" s="25" t="s">
        <v>2</v>
      </c>
      <c r="AF23" s="28">
        <f t="shared" ref="AF23" si="3">AB23-AB23*AD23/100</f>
        <v>9.6588024396088663</v>
      </c>
      <c r="AG23" s="28">
        <f>IF(AF23&lt;(AF30+AF37),AF23,(AF30+AF37))</f>
        <v>9.6588024396088663</v>
      </c>
      <c r="AH23" s="25"/>
      <c r="AJ23" s="25"/>
      <c r="AK23" s="27" t="s">
        <v>29</v>
      </c>
      <c r="AL23" s="28">
        <f>AL11*$H$215/100</f>
        <v>9.7987105673757284</v>
      </c>
      <c r="AM23" s="27" t="s">
        <v>84</v>
      </c>
      <c r="AN23" s="28">
        <f>$G$55</f>
        <v>0</v>
      </c>
      <c r="AO23" s="25" t="s">
        <v>2</v>
      </c>
      <c r="AP23" s="28">
        <f t="shared" ref="AP23" si="4">AL23-AL23*AN23/100</f>
        <v>9.7987105673757284</v>
      </c>
      <c r="AQ23" s="28">
        <f>IF(AP23&lt;(AP30+AP37),AP23,(AP30+AP37))</f>
        <v>9.7987105673757284</v>
      </c>
      <c r="AR23" s="25"/>
    </row>
    <row r="24" spans="2:44" x14ac:dyDescent="0.2">
      <c r="B24" s="83" t="s">
        <v>170</v>
      </c>
      <c r="C24" s="79"/>
      <c r="P24" s="25"/>
      <c r="Q24" s="25"/>
      <c r="R24" s="26"/>
      <c r="S24" s="25"/>
      <c r="T24" s="25"/>
      <c r="U24" s="25"/>
      <c r="V24" s="25"/>
      <c r="W24" s="26"/>
      <c r="X24" s="25"/>
      <c r="Z24" s="25"/>
      <c r="AA24" s="25"/>
      <c r="AB24" s="26"/>
      <c r="AC24" s="25"/>
      <c r="AD24" s="25"/>
      <c r="AE24" s="25"/>
      <c r="AF24" s="25"/>
      <c r="AG24" s="26"/>
      <c r="AH24" s="25"/>
      <c r="AJ24" s="25"/>
      <c r="AK24" s="25"/>
      <c r="AL24" s="26"/>
      <c r="AM24" s="25"/>
      <c r="AN24" s="25"/>
      <c r="AO24" s="25"/>
      <c r="AP24" s="25"/>
      <c r="AQ24" s="26"/>
      <c r="AR24" s="25"/>
    </row>
    <row r="25" spans="2:44" x14ac:dyDescent="0.2">
      <c r="B25" s="81" t="s">
        <v>14</v>
      </c>
      <c r="C25" s="11">
        <f>'baseline BAU'!N31</f>
        <v>0.78366280390281762</v>
      </c>
      <c r="D25" s="79"/>
      <c r="E25" s="79"/>
      <c r="F25" s="79"/>
      <c r="G25" s="307"/>
      <c r="H25" s="80"/>
      <c r="I25" s="80"/>
      <c r="J25" s="80"/>
      <c r="K25" s="80"/>
      <c r="L25" s="79"/>
      <c r="M25" s="79"/>
      <c r="N25" s="79"/>
      <c r="P25" s="25"/>
      <c r="Q25" s="27" t="s">
        <v>38</v>
      </c>
      <c r="R25" s="28">
        <f>R15*$H$143/100</f>
        <v>40.714176822055109</v>
      </c>
      <c r="S25" s="27" t="s">
        <v>84</v>
      </c>
      <c r="T25" s="28">
        <f>$H$171</f>
        <v>0</v>
      </c>
      <c r="U25" s="25" t="s">
        <v>2</v>
      </c>
      <c r="V25" s="28">
        <f>R25-T25*R25/100</f>
        <v>40.714176822055109</v>
      </c>
      <c r="W25" s="29" t="s">
        <v>97</v>
      </c>
      <c r="X25" s="25"/>
      <c r="Z25" s="25"/>
      <c r="AA25" s="27" t="s">
        <v>38</v>
      </c>
      <c r="AB25" s="28">
        <f>AB15*$H$143/100</f>
        <v>41.618443983757182</v>
      </c>
      <c r="AC25" s="27" t="s">
        <v>84</v>
      </c>
      <c r="AD25" s="25">
        <f>$H$171</f>
        <v>0</v>
      </c>
      <c r="AE25" s="25" t="s">
        <v>2</v>
      </c>
      <c r="AF25" s="28">
        <f>AB25-AD25*AB25/100</f>
        <v>41.618443983757182</v>
      </c>
      <c r="AG25" s="29" t="s">
        <v>97</v>
      </c>
      <c r="AH25" s="25"/>
      <c r="AJ25" s="25"/>
      <c r="AK25" s="27" t="s">
        <v>38</v>
      </c>
      <c r="AL25" s="28">
        <f>AL15*$H$143/100</f>
        <v>42.221288758225228</v>
      </c>
      <c r="AM25" s="27" t="s">
        <v>84</v>
      </c>
      <c r="AN25" s="25">
        <f>$H$171</f>
        <v>0</v>
      </c>
      <c r="AO25" s="25" t="s">
        <v>2</v>
      </c>
      <c r="AP25" s="28">
        <f>AL25-AN25*AL25/100</f>
        <v>42.221288758225228</v>
      </c>
      <c r="AQ25" s="29" t="s">
        <v>97</v>
      </c>
      <c r="AR25" s="25"/>
    </row>
    <row r="26" spans="2:44" x14ac:dyDescent="0.2">
      <c r="B26" s="81" t="s">
        <v>7</v>
      </c>
      <c r="C26" s="11">
        <f>'baseline BAU'!N32</f>
        <v>0.21633719609718238</v>
      </c>
      <c r="D26" s="11"/>
      <c r="E26" s="11"/>
      <c r="F26" s="11"/>
      <c r="G26" s="307"/>
      <c r="H26" s="11"/>
      <c r="I26" s="11"/>
      <c r="J26" s="11"/>
      <c r="K26" s="11"/>
      <c r="L26" s="79"/>
      <c r="M26" s="11"/>
      <c r="N26" s="11"/>
      <c r="O26" s="11"/>
      <c r="P26" s="25"/>
      <c r="Q26" s="27" t="s">
        <v>39</v>
      </c>
      <c r="R26" s="28">
        <f>R15*$H$144/100</f>
        <v>2.0770514927350527</v>
      </c>
      <c r="S26" s="27" t="s">
        <v>84</v>
      </c>
      <c r="T26" s="28">
        <f>$H$172</f>
        <v>0</v>
      </c>
      <c r="U26" s="25" t="s">
        <v>2</v>
      </c>
      <c r="V26" s="28">
        <f t="shared" ref="V26:V30" si="5">R26-T26*R26/100</f>
        <v>2.0770514927350527</v>
      </c>
      <c r="W26" s="29" t="s">
        <v>97</v>
      </c>
      <c r="X26" s="25"/>
      <c r="Z26" s="25"/>
      <c r="AA26" s="27" t="s">
        <v>39</v>
      </c>
      <c r="AB26" s="28">
        <f>AB15*$H$144/100</f>
        <v>2.1231830764891209</v>
      </c>
      <c r="AC26" s="27" t="s">
        <v>84</v>
      </c>
      <c r="AD26" s="25">
        <f>$H$172</f>
        <v>0</v>
      </c>
      <c r="AE26" s="25" t="s">
        <v>2</v>
      </c>
      <c r="AF26" s="28">
        <f t="shared" ref="AF26:AF30" si="6">AB26-AD26*AB26/100</f>
        <v>2.1231830764891209</v>
      </c>
      <c r="AG26" s="29" t="s">
        <v>97</v>
      </c>
      <c r="AH26" s="25"/>
      <c r="AJ26" s="25"/>
      <c r="AK26" s="27" t="s">
        <v>39</v>
      </c>
      <c r="AL26" s="28">
        <f>AL15*$H$144/100</f>
        <v>2.1539374656584998</v>
      </c>
      <c r="AM26" s="27" t="s">
        <v>84</v>
      </c>
      <c r="AN26" s="25">
        <f>$H$172</f>
        <v>0</v>
      </c>
      <c r="AO26" s="25" t="s">
        <v>2</v>
      </c>
      <c r="AP26" s="28">
        <f t="shared" ref="AP26:AP30" si="7">AL26-AN26*AL26/100</f>
        <v>2.1539374656584998</v>
      </c>
      <c r="AQ26" s="29" t="s">
        <v>97</v>
      </c>
      <c r="AR26" s="25"/>
    </row>
    <row r="27" spans="2:44" x14ac:dyDescent="0.2">
      <c r="D27" s="11"/>
      <c r="E27" s="11"/>
      <c r="F27" s="11"/>
      <c r="G27" s="307"/>
      <c r="H27" s="11"/>
      <c r="I27" s="11"/>
      <c r="J27" s="11"/>
      <c r="K27" s="11"/>
      <c r="L27" s="79"/>
      <c r="M27" s="11"/>
      <c r="N27" s="11"/>
      <c r="O27" s="11"/>
      <c r="P27" s="25"/>
      <c r="Q27" s="27" t="s">
        <v>40</v>
      </c>
      <c r="R27" s="28">
        <f>R15*$H$145/100</f>
        <v>2.023527573928293</v>
      </c>
      <c r="S27" s="27" t="s">
        <v>84</v>
      </c>
      <c r="T27" s="28">
        <f>$H$173</f>
        <v>0</v>
      </c>
      <c r="U27" s="25" t="s">
        <v>2</v>
      </c>
      <c r="V27" s="28">
        <f t="shared" si="5"/>
        <v>2.023527573928293</v>
      </c>
      <c r="W27" s="29" t="s">
        <v>97</v>
      </c>
      <c r="X27" s="25"/>
      <c r="Z27" s="25"/>
      <c r="AA27" s="27" t="s">
        <v>40</v>
      </c>
      <c r="AB27" s="28">
        <f>AB15*$H$145/100</f>
        <v>2.068470384485396</v>
      </c>
      <c r="AC27" s="27" t="s">
        <v>84</v>
      </c>
      <c r="AD27" s="25">
        <f>$H$173</f>
        <v>0</v>
      </c>
      <c r="AE27" s="25" t="s">
        <v>2</v>
      </c>
      <c r="AF27" s="28">
        <f t="shared" si="6"/>
        <v>2.068470384485396</v>
      </c>
      <c r="AG27" s="29" t="s">
        <v>97</v>
      </c>
      <c r="AH27" s="25"/>
      <c r="AJ27" s="25"/>
      <c r="AK27" s="27" t="s">
        <v>40</v>
      </c>
      <c r="AL27" s="28">
        <f>AL15*$H$145/100</f>
        <v>2.0984322581901313</v>
      </c>
      <c r="AM27" s="27" t="s">
        <v>84</v>
      </c>
      <c r="AN27" s="25">
        <f>$H$173</f>
        <v>0</v>
      </c>
      <c r="AO27" s="25" t="s">
        <v>2</v>
      </c>
      <c r="AP27" s="28">
        <f t="shared" si="7"/>
        <v>2.0984322581901313</v>
      </c>
      <c r="AQ27" s="29" t="s">
        <v>97</v>
      </c>
      <c r="AR27" s="25"/>
    </row>
    <row r="28" spans="2:44" x14ac:dyDescent="0.2">
      <c r="B28" s="81"/>
      <c r="C28" s="11"/>
      <c r="D28" s="11"/>
      <c r="E28" s="11"/>
      <c r="F28" s="11"/>
      <c r="G28" s="307"/>
      <c r="H28" s="308"/>
      <c r="I28" s="308"/>
      <c r="J28" s="308"/>
      <c r="K28" s="308"/>
      <c r="L28" s="79"/>
      <c r="M28" s="11"/>
      <c r="N28" s="79"/>
      <c r="P28" s="25"/>
      <c r="Q28" s="27" t="s">
        <v>41</v>
      </c>
      <c r="R28" s="28">
        <f>R15*$H$146/100</f>
        <v>3.6641848489839943</v>
      </c>
      <c r="S28" s="27" t="s">
        <v>84</v>
      </c>
      <c r="T28" s="28">
        <f>$H$174</f>
        <v>0</v>
      </c>
      <c r="U28" s="25" t="s">
        <v>2</v>
      </c>
      <c r="V28" s="28">
        <f t="shared" si="5"/>
        <v>3.6641848489839943</v>
      </c>
      <c r="W28" s="29" t="s">
        <v>97</v>
      </c>
      <c r="X28" s="25"/>
      <c r="Z28" s="25"/>
      <c r="AA28" s="27" t="s">
        <v>41</v>
      </c>
      <c r="AB28" s="28">
        <f>AB15*$H$146/100</f>
        <v>3.7455668709716674</v>
      </c>
      <c r="AC28" s="27" t="s">
        <v>84</v>
      </c>
      <c r="AD28" s="25">
        <f>$H$174</f>
        <v>0</v>
      </c>
      <c r="AE28" s="25" t="s">
        <v>2</v>
      </c>
      <c r="AF28" s="28">
        <f t="shared" si="6"/>
        <v>3.7455668709716674</v>
      </c>
      <c r="AG28" s="29" t="s">
        <v>97</v>
      </c>
      <c r="AH28" s="25"/>
      <c r="AJ28" s="25"/>
      <c r="AK28" s="27" t="s">
        <v>41</v>
      </c>
      <c r="AL28" s="28">
        <f>AL15*$H$146/100</f>
        <v>3.7998215522967826</v>
      </c>
      <c r="AM28" s="27" t="s">
        <v>84</v>
      </c>
      <c r="AN28" s="25">
        <f>$H$174</f>
        <v>0</v>
      </c>
      <c r="AO28" s="25" t="s">
        <v>2</v>
      </c>
      <c r="AP28" s="28">
        <f t="shared" si="7"/>
        <v>3.7998215522967826</v>
      </c>
      <c r="AQ28" s="29" t="s">
        <v>97</v>
      </c>
      <c r="AR28" s="25"/>
    </row>
    <row r="29" spans="2:44" x14ac:dyDescent="0.2">
      <c r="B29" s="82"/>
      <c r="C29" s="82"/>
      <c r="D29" s="82"/>
      <c r="E29" s="82"/>
      <c r="F29" s="82"/>
      <c r="G29" s="307"/>
      <c r="H29" s="11"/>
      <c r="I29" s="11"/>
      <c r="J29" s="11"/>
      <c r="K29" s="11"/>
      <c r="L29" s="79"/>
      <c r="M29" s="75"/>
      <c r="N29" s="11"/>
      <c r="O29" s="3"/>
      <c r="P29" s="25"/>
      <c r="Q29" s="27" t="s">
        <v>105</v>
      </c>
      <c r="R29" s="28">
        <f>R15*$H$147/100</f>
        <v>0.35883503911995668</v>
      </c>
      <c r="S29" s="27" t="s">
        <v>84</v>
      </c>
      <c r="T29" s="28">
        <f>$H$175</f>
        <v>0</v>
      </c>
      <c r="U29" s="25" t="s">
        <v>2</v>
      </c>
      <c r="V29" s="28">
        <f t="shared" si="5"/>
        <v>0.35883503911995668</v>
      </c>
      <c r="W29" s="29" t="s">
        <v>97</v>
      </c>
      <c r="X29" s="25"/>
      <c r="Z29" s="25"/>
      <c r="AA29" s="27" t="s">
        <v>105</v>
      </c>
      <c r="AB29" s="28">
        <f>AB15*$H$147/100</f>
        <v>0.36680481200183107</v>
      </c>
      <c r="AC29" s="27" t="s">
        <v>84</v>
      </c>
      <c r="AD29" s="25">
        <f>$H$175</f>
        <v>0</v>
      </c>
      <c r="AE29" s="25" t="s">
        <v>2</v>
      </c>
      <c r="AF29" s="28">
        <f t="shared" si="6"/>
        <v>0.36680481200183107</v>
      </c>
      <c r="AG29" s="29" t="s">
        <v>97</v>
      </c>
      <c r="AH29" s="25"/>
      <c r="AJ29" s="25"/>
      <c r="AK29" s="27" t="s">
        <v>105</v>
      </c>
      <c r="AL29" s="28">
        <f>AL15*$H$147/100</f>
        <v>0.37211799392308076</v>
      </c>
      <c r="AM29" s="27" t="s">
        <v>84</v>
      </c>
      <c r="AN29" s="25">
        <f>$H$175</f>
        <v>0</v>
      </c>
      <c r="AO29" s="25" t="s">
        <v>2</v>
      </c>
      <c r="AP29" s="28">
        <f t="shared" si="7"/>
        <v>0.37211799392308076</v>
      </c>
      <c r="AQ29" s="29" t="s">
        <v>97</v>
      </c>
      <c r="AR29" s="25"/>
    </row>
    <row r="30" spans="2:44" x14ac:dyDescent="0.2">
      <c r="P30" s="25"/>
      <c r="Q30" s="27" t="s">
        <v>52</v>
      </c>
      <c r="R30" s="28">
        <f>R15*$H$148/100</f>
        <v>0.18120725081092665</v>
      </c>
      <c r="S30" s="27" t="s">
        <v>84</v>
      </c>
      <c r="T30" s="28">
        <v>0</v>
      </c>
      <c r="U30" s="25" t="s">
        <v>2</v>
      </c>
      <c r="V30" s="28">
        <f t="shared" si="5"/>
        <v>0.18120725081092665</v>
      </c>
      <c r="W30" s="29" t="s">
        <v>97</v>
      </c>
      <c r="X30" s="25"/>
      <c r="Z30" s="25"/>
      <c r="AA30" s="27" t="s">
        <v>52</v>
      </c>
      <c r="AB30" s="28">
        <f>AB15*$H$148/100</f>
        <v>0.18523188741568464</v>
      </c>
      <c r="AC30" s="27" t="s">
        <v>84</v>
      </c>
      <c r="AD30" s="25">
        <v>0</v>
      </c>
      <c r="AE30" s="25" t="s">
        <v>2</v>
      </c>
      <c r="AF30" s="28">
        <f t="shared" si="6"/>
        <v>0.18523188741568464</v>
      </c>
      <c r="AG30" s="29" t="s">
        <v>97</v>
      </c>
      <c r="AH30" s="25"/>
      <c r="AJ30" s="25"/>
      <c r="AK30" s="27" t="s">
        <v>52</v>
      </c>
      <c r="AL30" s="28">
        <f>AL15*$H$148/100</f>
        <v>0.1879149784855233</v>
      </c>
      <c r="AM30" s="27" t="s">
        <v>84</v>
      </c>
      <c r="AN30" s="25">
        <v>0</v>
      </c>
      <c r="AO30" s="25" t="s">
        <v>2</v>
      </c>
      <c r="AP30" s="28">
        <f t="shared" si="7"/>
        <v>0.1879149784855233</v>
      </c>
      <c r="AQ30" s="29" t="s">
        <v>97</v>
      </c>
      <c r="AR30" s="25"/>
    </row>
    <row r="31" spans="2:44" x14ac:dyDescent="0.2">
      <c r="P31" s="25"/>
      <c r="Q31" s="27"/>
      <c r="R31" s="26"/>
      <c r="S31" s="25"/>
      <c r="T31" s="25"/>
      <c r="U31" s="25"/>
      <c r="V31" s="26"/>
      <c r="W31" s="25"/>
      <c r="X31" s="25"/>
      <c r="Z31" s="25"/>
      <c r="AA31" s="27"/>
      <c r="AB31" s="26"/>
      <c r="AC31" s="25"/>
      <c r="AD31" s="25"/>
      <c r="AE31" s="25"/>
      <c r="AF31" s="26"/>
      <c r="AG31" s="25"/>
      <c r="AH31" s="25"/>
      <c r="AJ31" s="25"/>
      <c r="AK31" s="27"/>
      <c r="AL31" s="26"/>
      <c r="AM31" s="25"/>
      <c r="AN31" s="25"/>
      <c r="AO31" s="25"/>
      <c r="AP31" s="26"/>
      <c r="AQ31" s="25"/>
      <c r="AR31" s="25"/>
    </row>
    <row r="32" spans="2:44" x14ac:dyDescent="0.2">
      <c r="P32" s="25"/>
      <c r="Q32" s="27" t="s">
        <v>42</v>
      </c>
      <c r="R32" s="28">
        <f>IF(R18-R25&gt;0,R18-R25,0)</f>
        <v>8.5361267934467833</v>
      </c>
      <c r="S32" s="27" t="s">
        <v>84</v>
      </c>
      <c r="T32" s="28">
        <f>T18</f>
        <v>3.72175390483488</v>
      </c>
      <c r="U32" s="25" t="s">
        <v>2</v>
      </c>
      <c r="V32" s="28">
        <f>R32-T32*R32/100</f>
        <v>8.2184331611900205</v>
      </c>
      <c r="W32" s="29" t="s">
        <v>97</v>
      </c>
      <c r="X32" s="25"/>
      <c r="Z32" s="25"/>
      <c r="AA32" s="27" t="s">
        <v>42</v>
      </c>
      <c r="AB32" s="28">
        <f>IF(AB18-AB25&gt;0,AB18-AB25,0)</f>
        <v>8.725715279569819</v>
      </c>
      <c r="AC32" s="27" t="s">
        <v>84</v>
      </c>
      <c r="AD32" s="28">
        <f>AD18</f>
        <v>3.72175390483488</v>
      </c>
      <c r="AE32" s="25" t="s">
        <v>2</v>
      </c>
      <c r="AF32" s="28">
        <f>AB32-AD32*AB32/100</f>
        <v>8.4009656304276561</v>
      </c>
      <c r="AG32" s="29" t="s">
        <v>97</v>
      </c>
      <c r="AH32" s="25"/>
      <c r="AJ32" s="25"/>
      <c r="AK32" s="27" t="s">
        <v>42</v>
      </c>
      <c r="AL32" s="28">
        <f>IF(AL18-AL25&gt;0,AL18-AL25,0)</f>
        <v>8.8521076036518451</v>
      </c>
      <c r="AM32" s="27" t="s">
        <v>84</v>
      </c>
      <c r="AN32" s="28">
        <f>AN18</f>
        <v>3.72175390483488</v>
      </c>
      <c r="AO32" s="25" t="s">
        <v>2</v>
      </c>
      <c r="AP32" s="28">
        <f>AL32-AN32*AL32/100</f>
        <v>8.5226539432527471</v>
      </c>
      <c r="AQ32" s="29" t="s">
        <v>97</v>
      </c>
      <c r="AR32" s="25"/>
    </row>
    <row r="33" spans="2:44" x14ac:dyDescent="0.2">
      <c r="P33" s="25"/>
      <c r="Q33" s="27" t="s">
        <v>43</v>
      </c>
      <c r="R33" s="28">
        <f t="shared" ref="R33:R37" si="8">IF(R19-R26&gt;0,R19-R26,0)</f>
        <v>0.30461970872780064</v>
      </c>
      <c r="S33" s="27" t="s">
        <v>84</v>
      </c>
      <c r="T33" s="28">
        <f>T19</f>
        <v>54.175412615358866</v>
      </c>
      <c r="U33" s="25" t="s">
        <v>2</v>
      </c>
      <c r="V33" s="28">
        <f t="shared" ref="V33:V37" si="9">R33-T33*R33/100</f>
        <v>0.1395907246168103</v>
      </c>
      <c r="W33" s="29" t="s">
        <v>97</v>
      </c>
      <c r="X33" s="25"/>
      <c r="Z33" s="25"/>
      <c r="AA33" s="27" t="s">
        <v>43</v>
      </c>
      <c r="AB33" s="28">
        <f t="shared" ref="AB33:AB37" si="10">IF(AB19-AB26&gt;0,AB19-AB26,0)</f>
        <v>0.3113853520714871</v>
      </c>
      <c r="AC33" s="27" t="s">
        <v>84</v>
      </c>
      <c r="AD33" s="28">
        <f>AD19</f>
        <v>54.175412615358866</v>
      </c>
      <c r="AE33" s="25" t="s">
        <v>2</v>
      </c>
      <c r="AF33" s="28">
        <f t="shared" ref="AF33:AF37" si="11">AB33-AD33*AB33/100</f>
        <v>0.14269105276297103</v>
      </c>
      <c r="AG33" s="29" t="s">
        <v>97</v>
      </c>
      <c r="AH33" s="25"/>
      <c r="AJ33" s="25"/>
      <c r="AK33" s="27" t="s">
        <v>43</v>
      </c>
      <c r="AL33" s="28">
        <f t="shared" ref="AL33:AL37" si="12">IF(AL19-AL26&gt;0,AL19-AL26,0)</f>
        <v>0.31589578096727822</v>
      </c>
      <c r="AM33" s="27" t="s">
        <v>84</v>
      </c>
      <c r="AN33" s="28">
        <f>AN19</f>
        <v>54.175412615358866</v>
      </c>
      <c r="AO33" s="25" t="s">
        <v>2</v>
      </c>
      <c r="AP33" s="28">
        <f t="shared" ref="AP33:AP37" si="13">AL33-AN33*AL33/100</f>
        <v>0.14475793819374497</v>
      </c>
      <c r="AQ33" s="29" t="s">
        <v>97</v>
      </c>
      <c r="AR33" s="25"/>
    </row>
    <row r="34" spans="2:44" ht="13.5" thickBot="1" x14ac:dyDescent="0.25">
      <c r="B34" s="84" t="s">
        <v>22</v>
      </c>
      <c r="C34" s="53"/>
      <c r="D34">
        <v>2012</v>
      </c>
      <c r="E34" s="10">
        <v>24.434055020947763</v>
      </c>
      <c r="F34" t="s">
        <v>2</v>
      </c>
      <c r="G34" t="s">
        <v>149</v>
      </c>
      <c r="P34" s="25"/>
      <c r="Q34" s="27" t="s">
        <v>44</v>
      </c>
      <c r="R34" s="28">
        <f t="shared" si="8"/>
        <v>0.31137147116198127</v>
      </c>
      <c r="S34" s="27" t="s">
        <v>84</v>
      </c>
      <c r="T34" s="28">
        <f>T20</f>
        <v>15.72349052041027</v>
      </c>
      <c r="U34" s="25" t="s">
        <v>2</v>
      </c>
      <c r="V34" s="28">
        <f t="shared" si="9"/>
        <v>0.26241300741056517</v>
      </c>
      <c r="W34" s="29" t="s">
        <v>97</v>
      </c>
      <c r="X34" s="25"/>
      <c r="Z34" s="25"/>
      <c r="AA34" s="27" t="s">
        <v>44</v>
      </c>
      <c r="AB34" s="28">
        <f t="shared" si="10"/>
        <v>0.31828707202733231</v>
      </c>
      <c r="AC34" s="27" t="s">
        <v>84</v>
      </c>
      <c r="AD34" s="28">
        <f>AD20</f>
        <v>15.72349052041027</v>
      </c>
      <c r="AE34" s="25" t="s">
        <v>2</v>
      </c>
      <c r="AF34" s="28">
        <f t="shared" si="11"/>
        <v>0.26824123442942333</v>
      </c>
      <c r="AG34" s="29" t="s">
        <v>97</v>
      </c>
      <c r="AH34" s="25"/>
      <c r="AJ34" s="25"/>
      <c r="AK34" s="27" t="s">
        <v>44</v>
      </c>
      <c r="AL34" s="28">
        <f t="shared" si="12"/>
        <v>0.32289747260423241</v>
      </c>
      <c r="AM34" s="27" t="s">
        <v>84</v>
      </c>
      <c r="AN34" s="28">
        <f>AN20</f>
        <v>15.72349052041027</v>
      </c>
      <c r="AO34" s="25" t="s">
        <v>2</v>
      </c>
      <c r="AP34" s="28">
        <f t="shared" si="13"/>
        <v>0.2721267191086616</v>
      </c>
      <c r="AQ34" s="29" t="s">
        <v>97</v>
      </c>
      <c r="AR34" s="25"/>
    </row>
    <row r="35" spans="2:44" ht="14.25" thickTop="1" thickBot="1" x14ac:dyDescent="0.25">
      <c r="D35">
        <v>2020</v>
      </c>
      <c r="E35" s="152">
        <v>35</v>
      </c>
      <c r="F35" t="s">
        <v>2</v>
      </c>
      <c r="G35" t="s">
        <v>182</v>
      </c>
      <c r="P35" s="25"/>
      <c r="Q35" s="27" t="s">
        <v>45</v>
      </c>
      <c r="R35" s="28">
        <f t="shared" si="8"/>
        <v>13.145486096237276</v>
      </c>
      <c r="S35" s="27" t="s">
        <v>84</v>
      </c>
      <c r="T35" s="28">
        <f>T21</f>
        <v>32.953929403991523</v>
      </c>
      <c r="U35" s="25" t="s">
        <v>2</v>
      </c>
      <c r="V35" s="28">
        <f t="shared" si="9"/>
        <v>8.8135318882717222</v>
      </c>
      <c r="W35" s="29" t="s">
        <v>97</v>
      </c>
      <c r="X35" s="25"/>
      <c r="Z35" s="25"/>
      <c r="AA35" s="27" t="s">
        <v>45</v>
      </c>
      <c r="AB35" s="28">
        <f t="shared" si="10"/>
        <v>13.43744905187781</v>
      </c>
      <c r="AC35" s="27" t="s">
        <v>84</v>
      </c>
      <c r="AD35" s="28">
        <f>AD21</f>
        <v>32.953929403991523</v>
      </c>
      <c r="AE35" s="25" t="s">
        <v>2</v>
      </c>
      <c r="AF35" s="28">
        <f t="shared" si="11"/>
        <v>9.0092815776246677</v>
      </c>
      <c r="AG35" s="29" t="s">
        <v>97</v>
      </c>
      <c r="AH35" s="25"/>
      <c r="AJ35" s="25"/>
      <c r="AK35" s="27" t="s">
        <v>45</v>
      </c>
      <c r="AL35" s="28">
        <f t="shared" si="12"/>
        <v>13.632091022304836</v>
      </c>
      <c r="AM35" s="27" t="s">
        <v>84</v>
      </c>
      <c r="AN35" s="28">
        <f>AN21</f>
        <v>32.953929403991523</v>
      </c>
      <c r="AO35" s="25" t="s">
        <v>2</v>
      </c>
      <c r="AP35" s="28">
        <f t="shared" si="13"/>
        <v>9.1397813705266344</v>
      </c>
      <c r="AQ35" s="29" t="s">
        <v>97</v>
      </c>
      <c r="AR35" s="25"/>
    </row>
    <row r="36" spans="2:44" ht="13.5" thickTop="1" x14ac:dyDescent="0.2">
      <c r="E36" s="10"/>
      <c r="P36" s="25"/>
      <c r="Q36" s="27" t="s">
        <v>108</v>
      </c>
      <c r="R36" s="28">
        <f t="shared" si="8"/>
        <v>5.2626632262310402E-2</v>
      </c>
      <c r="S36" s="27" t="s">
        <v>84</v>
      </c>
      <c r="T36" s="28">
        <f>T22</f>
        <v>0</v>
      </c>
      <c r="U36" s="25" t="s">
        <v>2</v>
      </c>
      <c r="V36" s="28">
        <f t="shared" ref="V36" si="14">R36-T36*R36/100</f>
        <v>5.2626632262310402E-2</v>
      </c>
      <c r="W36" s="29" t="s">
        <v>97</v>
      </c>
      <c r="X36" s="25"/>
      <c r="Z36" s="25"/>
      <c r="AA36" s="27" t="s">
        <v>108</v>
      </c>
      <c r="AB36" s="28">
        <f t="shared" si="10"/>
        <v>5.3795476608440085E-2</v>
      </c>
      <c r="AC36" s="27" t="s">
        <v>84</v>
      </c>
      <c r="AD36" s="28">
        <f>AD22</f>
        <v>0</v>
      </c>
      <c r="AE36" s="25" t="s">
        <v>2</v>
      </c>
      <c r="AF36" s="28">
        <f t="shared" si="11"/>
        <v>5.3795476608440085E-2</v>
      </c>
      <c r="AG36" s="29" t="s">
        <v>97</v>
      </c>
      <c r="AH36" s="25"/>
      <c r="AJ36" s="25"/>
      <c r="AK36" s="27" t="s">
        <v>108</v>
      </c>
      <c r="AL36" s="28">
        <f t="shared" si="12"/>
        <v>5.4574706172526355E-2</v>
      </c>
      <c r="AM36" s="27" t="s">
        <v>84</v>
      </c>
      <c r="AN36" s="28">
        <f>AN22</f>
        <v>0</v>
      </c>
      <c r="AO36" s="25" t="s">
        <v>2</v>
      </c>
      <c r="AP36" s="28">
        <f t="shared" si="13"/>
        <v>5.4574706172526355E-2</v>
      </c>
      <c r="AQ36" s="29" t="s">
        <v>97</v>
      </c>
      <c r="AR36" s="25"/>
    </row>
    <row r="37" spans="2:44" x14ac:dyDescent="0.2">
      <c r="C37" s="9"/>
      <c r="E37" s="34"/>
      <c r="P37" s="25"/>
      <c r="Q37" s="27" t="s">
        <v>96</v>
      </c>
      <c r="R37" s="28">
        <f t="shared" si="8"/>
        <v>9.2677329971476468</v>
      </c>
      <c r="S37" s="27" t="s">
        <v>84</v>
      </c>
      <c r="T37" s="28">
        <v>0</v>
      </c>
      <c r="U37" s="25" t="s">
        <v>2</v>
      </c>
      <c r="V37" s="28">
        <f t="shared" si="9"/>
        <v>9.2677329971476468</v>
      </c>
      <c r="W37" s="29" t="s">
        <v>97</v>
      </c>
      <c r="X37" s="25"/>
      <c r="Z37" s="25"/>
      <c r="AA37" s="27" t="s">
        <v>96</v>
      </c>
      <c r="AB37" s="28">
        <f t="shared" si="10"/>
        <v>9.4735705521931823</v>
      </c>
      <c r="AC37" s="27" t="s">
        <v>84</v>
      </c>
      <c r="AD37" s="28">
        <v>0</v>
      </c>
      <c r="AE37" s="25" t="s">
        <v>2</v>
      </c>
      <c r="AF37" s="28">
        <f t="shared" si="11"/>
        <v>9.4735705521931823</v>
      </c>
      <c r="AG37" s="29" t="s">
        <v>97</v>
      </c>
      <c r="AH37" s="25"/>
      <c r="AJ37" s="25"/>
      <c r="AK37" s="27" t="s">
        <v>96</v>
      </c>
      <c r="AL37" s="28">
        <f t="shared" si="12"/>
        <v>9.6107955888902055</v>
      </c>
      <c r="AM37" s="27" t="s">
        <v>84</v>
      </c>
      <c r="AN37" s="28">
        <v>0</v>
      </c>
      <c r="AO37" s="25" t="s">
        <v>2</v>
      </c>
      <c r="AP37" s="28">
        <f t="shared" si="13"/>
        <v>9.6107955888902055</v>
      </c>
      <c r="AQ37" s="29" t="s">
        <v>97</v>
      </c>
      <c r="AR37" s="25"/>
    </row>
    <row r="38" spans="2:44" x14ac:dyDescent="0.2">
      <c r="E38" s="34"/>
      <c r="P38" s="25"/>
      <c r="Q38" s="25"/>
      <c r="R38" s="26"/>
      <c r="S38" s="25"/>
      <c r="T38" s="25"/>
      <c r="U38" s="25"/>
      <c r="V38" s="26"/>
      <c r="W38" s="25"/>
      <c r="X38" s="25"/>
      <c r="Z38" s="25"/>
      <c r="AA38" s="25"/>
      <c r="AB38" s="26"/>
      <c r="AC38" s="25"/>
      <c r="AD38" s="25"/>
      <c r="AE38" s="25"/>
      <c r="AF38" s="26"/>
      <c r="AG38" s="25"/>
      <c r="AH38" s="25"/>
      <c r="AJ38" s="25"/>
      <c r="AK38" s="25"/>
      <c r="AL38" s="26"/>
      <c r="AM38" s="25"/>
      <c r="AN38" s="25"/>
      <c r="AO38" s="25"/>
      <c r="AP38" s="26"/>
      <c r="AQ38" s="25"/>
      <c r="AR38" s="25"/>
    </row>
    <row r="39" spans="2:44" x14ac:dyDescent="0.2">
      <c r="E39" s="34"/>
      <c r="P39" s="25"/>
      <c r="Q39" s="27" t="s">
        <v>47</v>
      </c>
      <c r="R39" s="28">
        <f>R16*$H$151/100</f>
        <v>1.3359309652142199</v>
      </c>
      <c r="S39" s="27" t="s">
        <v>84</v>
      </c>
      <c r="T39" s="28">
        <f>$H$171</f>
        <v>0</v>
      </c>
      <c r="U39" s="25" t="s">
        <v>2</v>
      </c>
      <c r="V39" s="25"/>
      <c r="W39" s="28">
        <f>R39-T39*R39/100</f>
        <v>1.3359309652142199</v>
      </c>
      <c r="X39" s="25"/>
      <c r="Z39" s="25"/>
      <c r="AA39" s="27" t="s">
        <v>47</v>
      </c>
      <c r="AB39" s="28">
        <f>AB16*$H$151/100</f>
        <v>1.4673012657278093</v>
      </c>
      <c r="AC39" s="27" t="s">
        <v>84</v>
      </c>
      <c r="AD39" s="28">
        <f>$H$171</f>
        <v>0</v>
      </c>
      <c r="AE39" s="25" t="s">
        <v>2</v>
      </c>
      <c r="AF39" s="25"/>
      <c r="AG39" s="28">
        <f>AB39-AD39*AB39/100</f>
        <v>1.4673012657278093</v>
      </c>
      <c r="AH39" s="25"/>
      <c r="AJ39" s="25"/>
      <c r="AK39" s="27" t="s">
        <v>47</v>
      </c>
      <c r="AL39" s="28">
        <f>AL16*$H$151/100</f>
        <v>1.6115900151032105</v>
      </c>
      <c r="AM39" s="27" t="s">
        <v>84</v>
      </c>
      <c r="AN39" s="28">
        <f>$H$171</f>
        <v>0</v>
      </c>
      <c r="AO39" s="25" t="s">
        <v>2</v>
      </c>
      <c r="AP39" s="25"/>
      <c r="AQ39" s="28">
        <f>AL39-AN39*AL39/100</f>
        <v>1.6115900151032105</v>
      </c>
      <c r="AR39" s="25"/>
    </row>
    <row r="40" spans="2:44" x14ac:dyDescent="0.2">
      <c r="E40" s="34"/>
      <c r="P40" s="25"/>
      <c r="Q40" s="27" t="s">
        <v>49</v>
      </c>
      <c r="R40" s="28">
        <f>R16*$H$152/100</f>
        <v>0</v>
      </c>
      <c r="S40" s="27" t="s">
        <v>84</v>
      </c>
      <c r="T40" s="28">
        <f>$H$172</f>
        <v>0</v>
      </c>
      <c r="U40" s="25" t="s">
        <v>2</v>
      </c>
      <c r="V40" s="25"/>
      <c r="W40" s="28">
        <f>R40-T40*R40/100</f>
        <v>0</v>
      </c>
      <c r="X40" s="25"/>
      <c r="Z40" s="25"/>
      <c r="AA40" s="27" t="s">
        <v>49</v>
      </c>
      <c r="AB40" s="28">
        <f>AB16*$H$152/100</f>
        <v>0</v>
      </c>
      <c r="AC40" s="27" t="s">
        <v>84</v>
      </c>
      <c r="AD40" s="28">
        <f>$H$172</f>
        <v>0</v>
      </c>
      <c r="AE40" s="25" t="s">
        <v>2</v>
      </c>
      <c r="AF40" s="25"/>
      <c r="AG40" s="28">
        <f>AB40-AD40*AB40/100</f>
        <v>0</v>
      </c>
      <c r="AH40" s="25"/>
      <c r="AJ40" s="25"/>
      <c r="AK40" s="27" t="s">
        <v>49</v>
      </c>
      <c r="AL40" s="28">
        <f>AL16*$H$152/100</f>
        <v>0</v>
      </c>
      <c r="AM40" s="27" t="s">
        <v>84</v>
      </c>
      <c r="AN40" s="28">
        <f>$H$172</f>
        <v>0</v>
      </c>
      <c r="AO40" s="25" t="s">
        <v>2</v>
      </c>
      <c r="AP40" s="25"/>
      <c r="AQ40" s="28">
        <f>AL40-AN40*AL40/100</f>
        <v>0</v>
      </c>
      <c r="AR40" s="25"/>
    </row>
    <row r="41" spans="2:44" x14ac:dyDescent="0.2">
      <c r="E41" s="10"/>
      <c r="P41" s="25"/>
      <c r="Q41" s="27" t="s">
        <v>50</v>
      </c>
      <c r="R41" s="28">
        <f>R16*$H$153/100</f>
        <v>1.1939106939691559E-2</v>
      </c>
      <c r="S41" s="27" t="s">
        <v>84</v>
      </c>
      <c r="T41" s="28">
        <f>$H$173</f>
        <v>0</v>
      </c>
      <c r="U41" s="25" t="s">
        <v>2</v>
      </c>
      <c r="V41" s="25"/>
      <c r="W41" s="28">
        <f>R41-T41*R41/100</f>
        <v>1.1939106939691559E-2</v>
      </c>
      <c r="X41" s="25"/>
      <c r="Z41" s="25"/>
      <c r="AA41" s="27" t="s">
        <v>50</v>
      </c>
      <c r="AB41" s="28">
        <f>AB16*$H$153/100</f>
        <v>1.3113152685595547E-2</v>
      </c>
      <c r="AC41" s="27" t="s">
        <v>84</v>
      </c>
      <c r="AD41" s="28">
        <f>$H$173</f>
        <v>0</v>
      </c>
      <c r="AE41" s="25" t="s">
        <v>2</v>
      </c>
      <c r="AF41" s="25"/>
      <c r="AG41" s="28">
        <f>AB41-AD41*AB41/100</f>
        <v>1.3113152685595547E-2</v>
      </c>
      <c r="AH41" s="25"/>
      <c r="AJ41" s="25"/>
      <c r="AK41" s="27" t="s">
        <v>50</v>
      </c>
      <c r="AL41" s="28">
        <f>AL16*$H$153/100</f>
        <v>1.4402649563685374E-2</v>
      </c>
      <c r="AM41" s="27" t="s">
        <v>84</v>
      </c>
      <c r="AN41" s="28">
        <f>$H$173</f>
        <v>0</v>
      </c>
      <c r="AO41" s="25" t="s">
        <v>2</v>
      </c>
      <c r="AP41" s="25"/>
      <c r="AQ41" s="28">
        <f>AL41-AN41*AL41/100</f>
        <v>1.4402649563685374E-2</v>
      </c>
      <c r="AR41" s="25"/>
    </row>
    <row r="42" spans="2:44" x14ac:dyDescent="0.2">
      <c r="B42" s="84" t="s">
        <v>61</v>
      </c>
      <c r="C42" s="53"/>
      <c r="E42" s="10"/>
      <c r="P42" s="25"/>
      <c r="Q42" s="27" t="s">
        <v>51</v>
      </c>
      <c r="R42" s="28">
        <f>R16*$H$154/100</f>
        <v>0.15051873476122818</v>
      </c>
      <c r="S42" s="27" t="s">
        <v>84</v>
      </c>
      <c r="T42" s="28">
        <f>$H$174</f>
        <v>0</v>
      </c>
      <c r="U42" s="25" t="s">
        <v>2</v>
      </c>
      <c r="V42" s="25"/>
      <c r="W42" s="28">
        <f>R42-T42*R42/100</f>
        <v>0.15051873476122818</v>
      </c>
      <c r="X42" s="25"/>
      <c r="Z42" s="25"/>
      <c r="AA42" s="27" t="s">
        <v>51</v>
      </c>
      <c r="AB42" s="28">
        <f>AB16*$H$154/100</f>
        <v>0.16532016682125761</v>
      </c>
      <c r="AC42" s="27" t="s">
        <v>84</v>
      </c>
      <c r="AD42" s="28">
        <f>$H$174</f>
        <v>0</v>
      </c>
      <c r="AE42" s="25" t="s">
        <v>2</v>
      </c>
      <c r="AF42" s="25"/>
      <c r="AG42" s="28">
        <f>AB42-AD42*AB42/100</f>
        <v>0.16532016682125761</v>
      </c>
      <c r="AH42" s="25"/>
      <c r="AJ42" s="25"/>
      <c r="AK42" s="27" t="s">
        <v>51</v>
      </c>
      <c r="AL42" s="28">
        <f>AL16*$H$154/100</f>
        <v>0.1815771146439939</v>
      </c>
      <c r="AM42" s="27" t="s">
        <v>84</v>
      </c>
      <c r="AN42" s="28">
        <f>$H$174</f>
        <v>0</v>
      </c>
      <c r="AO42" s="25" t="s">
        <v>2</v>
      </c>
      <c r="AP42" s="25"/>
      <c r="AQ42" s="28">
        <f>AL42-AN42*AL42/100</f>
        <v>0.1815771146439939</v>
      </c>
      <c r="AR42" s="25"/>
    </row>
    <row r="43" spans="2:44" ht="13.5" thickBot="1" x14ac:dyDescent="0.25">
      <c r="D43">
        <v>2012</v>
      </c>
      <c r="E43">
        <v>2020</v>
      </c>
      <c r="P43" s="25"/>
      <c r="Q43" s="27" t="s">
        <v>109</v>
      </c>
      <c r="R43" s="28">
        <f>R16*$H$155/100</f>
        <v>0.23914279374255001</v>
      </c>
      <c r="S43" s="27" t="s">
        <v>84</v>
      </c>
      <c r="T43" s="28">
        <f>$H$175</f>
        <v>0</v>
      </c>
      <c r="U43" s="25" t="s">
        <v>2</v>
      </c>
      <c r="V43" s="25"/>
      <c r="W43" s="28">
        <f t="shared" ref="W43:W44" si="15">R43-T43*R43/100</f>
        <v>0.23914279374255001</v>
      </c>
      <c r="X43" s="25"/>
      <c r="Z43" s="25"/>
      <c r="AA43" s="27" t="s">
        <v>109</v>
      </c>
      <c r="AB43" s="28">
        <f>AB16*$H$155/100</f>
        <v>0.2626591740778022</v>
      </c>
      <c r="AC43" s="27" t="s">
        <v>84</v>
      </c>
      <c r="AD43" s="28">
        <f>$H$175</f>
        <v>0</v>
      </c>
      <c r="AE43" s="25" t="s">
        <v>2</v>
      </c>
      <c r="AF43" s="25"/>
      <c r="AG43" s="28">
        <f t="shared" ref="AG43:AG44" si="16">AB43-AD43*AB43/100</f>
        <v>0.2626591740778022</v>
      </c>
      <c r="AH43" s="25"/>
      <c r="AJ43" s="25"/>
      <c r="AK43" s="27" t="s">
        <v>109</v>
      </c>
      <c r="AL43" s="28">
        <f>AL16*$H$155/100</f>
        <v>0.28848806458916104</v>
      </c>
      <c r="AM43" s="27" t="s">
        <v>84</v>
      </c>
      <c r="AN43" s="28">
        <f>$H$175</f>
        <v>0</v>
      </c>
      <c r="AO43" s="25" t="s">
        <v>2</v>
      </c>
      <c r="AP43" s="25"/>
      <c r="AQ43" s="28">
        <f t="shared" ref="AQ43:AQ44" si="17">AL43-AN43*AL43/100</f>
        <v>0.28848806458916104</v>
      </c>
      <c r="AR43" s="25"/>
    </row>
    <row r="44" spans="2:44" ht="13.5" thickTop="1" x14ac:dyDescent="0.2">
      <c r="C44" t="s">
        <v>62</v>
      </c>
      <c r="D44" s="102">
        <v>7.1411729039646969</v>
      </c>
      <c r="E44" s="103">
        <v>10.597149927395259</v>
      </c>
      <c r="F44" s="107"/>
      <c r="G44" s="108"/>
      <c r="P44" s="25"/>
      <c r="Q44" s="27" t="s">
        <v>83</v>
      </c>
      <c r="R44" s="28">
        <f>R16*$H$156/100</f>
        <v>1.4131052125495168E-2</v>
      </c>
      <c r="S44" s="27" t="s">
        <v>84</v>
      </c>
      <c r="T44" s="28">
        <v>0</v>
      </c>
      <c r="U44" s="25" t="s">
        <v>2</v>
      </c>
      <c r="V44" s="25"/>
      <c r="W44" s="28">
        <f t="shared" si="15"/>
        <v>1.4131052125495168E-2</v>
      </c>
      <c r="X44" s="25"/>
      <c r="Z44" s="25"/>
      <c r="AA44" s="27" t="s">
        <v>83</v>
      </c>
      <c r="AB44" s="28">
        <f>AB16*$H$156/100</f>
        <v>1.5520645310051541E-2</v>
      </c>
      <c r="AC44" s="27" t="s">
        <v>84</v>
      </c>
      <c r="AD44" s="28">
        <v>0</v>
      </c>
      <c r="AE44" s="25" t="s">
        <v>2</v>
      </c>
      <c r="AF44" s="25"/>
      <c r="AG44" s="28">
        <f t="shared" si="16"/>
        <v>1.5520645310051541E-2</v>
      </c>
      <c r="AH44" s="25"/>
      <c r="AJ44" s="25"/>
      <c r="AK44" s="27" t="s">
        <v>83</v>
      </c>
      <c r="AL44" s="28">
        <f>AL16*$H$156/100</f>
        <v>1.7046885730879986E-2</v>
      </c>
      <c r="AM44" s="27" t="s">
        <v>84</v>
      </c>
      <c r="AN44" s="28">
        <v>0</v>
      </c>
      <c r="AO44" s="25" t="s">
        <v>2</v>
      </c>
      <c r="AP44" s="25"/>
      <c r="AQ44" s="28">
        <f t="shared" si="17"/>
        <v>1.7046885730879986E-2</v>
      </c>
      <c r="AR44" s="25"/>
    </row>
    <row r="45" spans="2:44" x14ac:dyDescent="0.2">
      <c r="C45" t="s">
        <v>63</v>
      </c>
      <c r="D45" s="106">
        <v>52.817731667059654</v>
      </c>
      <c r="E45" s="107">
        <v>78.378920217715887</v>
      </c>
      <c r="F45" s="107"/>
      <c r="G45" s="108"/>
      <c r="P45" s="25"/>
      <c r="Q45" s="25"/>
      <c r="R45" s="26"/>
      <c r="S45" s="25"/>
      <c r="T45" s="25"/>
      <c r="U45" s="25"/>
      <c r="V45" s="26"/>
      <c r="W45" s="28"/>
      <c r="X45" s="25"/>
      <c r="Z45" s="25"/>
      <c r="AA45" s="25"/>
      <c r="AB45" s="26"/>
      <c r="AC45" s="25"/>
      <c r="AD45" s="25"/>
      <c r="AE45" s="25"/>
      <c r="AF45" s="26"/>
      <c r="AG45" s="28"/>
      <c r="AH45" s="25"/>
      <c r="AJ45" s="25"/>
      <c r="AK45" s="25"/>
      <c r="AL45" s="26"/>
      <c r="AM45" s="25"/>
      <c r="AN45" s="25"/>
      <c r="AO45" s="25"/>
      <c r="AP45" s="26"/>
      <c r="AQ45" s="28"/>
      <c r="AR45" s="25"/>
    </row>
    <row r="46" spans="2:44" x14ac:dyDescent="0.2">
      <c r="C46" t="s">
        <v>64</v>
      </c>
      <c r="D46" s="106">
        <v>24.522518273991984</v>
      </c>
      <c r="E46" s="107">
        <v>36.390212958225241</v>
      </c>
      <c r="F46" s="107"/>
      <c r="G46" s="108"/>
      <c r="P46" s="25"/>
      <c r="Q46" s="27" t="s">
        <v>91</v>
      </c>
      <c r="R46" s="28">
        <f>R12-R16</f>
        <v>22.009433535783703</v>
      </c>
      <c r="S46" s="27" t="s">
        <v>84</v>
      </c>
      <c r="T46" s="28">
        <v>0</v>
      </c>
      <c r="U46" s="25" t="s">
        <v>2</v>
      </c>
      <c r="V46" s="26"/>
      <c r="W46" s="28">
        <f t="shared" ref="W46" si="18">R46-T46*R46/100</f>
        <v>22.009433535783703</v>
      </c>
      <c r="X46" s="25"/>
      <c r="Z46" s="25"/>
      <c r="AA46" s="27" t="s">
        <v>91</v>
      </c>
      <c r="AB46" s="28">
        <f>AB12-AB16</f>
        <v>24.173756373578051</v>
      </c>
      <c r="AC46" s="27" t="s">
        <v>84</v>
      </c>
      <c r="AD46" s="28">
        <v>0</v>
      </c>
      <c r="AE46" s="25" t="s">
        <v>2</v>
      </c>
      <c r="AF46" s="26"/>
      <c r="AG46" s="28">
        <f t="shared" ref="AG46" si="19">AB46-AD46*AB46/100</f>
        <v>24.173756373578051</v>
      </c>
      <c r="AH46" s="25"/>
      <c r="AJ46" s="25"/>
      <c r="AK46" s="27" t="s">
        <v>91</v>
      </c>
      <c r="AL46" s="28">
        <f>AL12-AL16</f>
        <v>26.550910374817935</v>
      </c>
      <c r="AM46" s="27" t="s">
        <v>84</v>
      </c>
      <c r="AN46" s="28">
        <v>0</v>
      </c>
      <c r="AO46" s="25" t="s">
        <v>2</v>
      </c>
      <c r="AP46" s="26"/>
      <c r="AQ46" s="28">
        <f t="shared" ref="AQ46" si="20">AL46-AN46*AL46/100</f>
        <v>26.550910374817935</v>
      </c>
      <c r="AR46" s="25"/>
    </row>
    <row r="47" spans="2:44" ht="13.5" thickBot="1" x14ac:dyDescent="0.25">
      <c r="C47" t="s">
        <v>65</v>
      </c>
      <c r="D47" s="110">
        <v>40.509313841075219</v>
      </c>
      <c r="E47" s="111">
        <v>60.113832559837448</v>
      </c>
      <c r="F47" s="107"/>
      <c r="G47" s="108"/>
      <c r="P47" s="25"/>
      <c r="Q47" s="25"/>
      <c r="R47" s="26"/>
      <c r="S47" s="25"/>
      <c r="T47" s="25"/>
      <c r="U47" s="25"/>
      <c r="V47" s="25"/>
      <c r="W47" s="25"/>
      <c r="X47" s="25"/>
      <c r="Z47" s="25"/>
      <c r="AA47" s="25"/>
      <c r="AB47" s="26"/>
      <c r="AC47" s="25"/>
      <c r="AD47" s="25"/>
      <c r="AE47" s="25"/>
      <c r="AF47" s="25"/>
      <c r="AG47" s="25"/>
      <c r="AH47" s="25"/>
      <c r="AJ47" s="25"/>
      <c r="AK47" s="25"/>
      <c r="AL47" s="26"/>
      <c r="AM47" s="25"/>
      <c r="AN47" s="25"/>
      <c r="AO47" s="25"/>
      <c r="AP47" s="25"/>
      <c r="AQ47" s="25"/>
      <c r="AR47" s="25"/>
    </row>
    <row r="48" spans="2:44" ht="14.25" thickTop="1" thickBot="1" x14ac:dyDescent="0.25">
      <c r="E48" s="10"/>
      <c r="P48" s="25"/>
      <c r="Q48" s="25"/>
      <c r="R48" s="26"/>
      <c r="S48" s="25"/>
      <c r="T48" s="25"/>
      <c r="U48" s="25"/>
      <c r="V48" s="25"/>
      <c r="W48" s="25"/>
      <c r="X48" s="25"/>
      <c r="Z48" s="25"/>
      <c r="AA48" s="25"/>
      <c r="AB48" s="26"/>
      <c r="AC48" s="25"/>
      <c r="AD48" s="25"/>
      <c r="AE48" s="25"/>
      <c r="AF48" s="25"/>
      <c r="AG48" s="25"/>
      <c r="AH48" s="25"/>
      <c r="AJ48" s="25"/>
      <c r="AK48" s="25"/>
      <c r="AL48" s="26"/>
      <c r="AM48" s="25"/>
      <c r="AN48" s="25"/>
      <c r="AO48" s="25"/>
      <c r="AP48" s="25"/>
      <c r="AQ48" s="25"/>
      <c r="AR48" s="25"/>
    </row>
    <row r="49" spans="2:44" ht="13.5" thickBot="1" x14ac:dyDescent="0.25">
      <c r="B49" t="s">
        <v>23</v>
      </c>
      <c r="E49" s="10"/>
      <c r="F49" t="s">
        <v>24</v>
      </c>
      <c r="G49" t="s">
        <v>66</v>
      </c>
      <c r="P49" s="25"/>
      <c r="Q49" s="25"/>
      <c r="R49" s="26"/>
      <c r="S49" s="25"/>
      <c r="T49" s="25"/>
      <c r="U49" s="30"/>
      <c r="V49" s="31" t="s">
        <v>21</v>
      </c>
      <c r="W49" s="122">
        <f>SUM(W18:W46)</f>
        <v>95.368212890349952</v>
      </c>
      <c r="X49" s="25"/>
      <c r="Z49" s="25"/>
      <c r="AA49" s="25"/>
      <c r="AB49" s="26"/>
      <c r="AC49" s="25"/>
      <c r="AD49" s="25"/>
      <c r="AE49" s="30"/>
      <c r="AF49" s="31" t="s">
        <v>193</v>
      </c>
      <c r="AG49" s="122">
        <f>SUM(AG18:AG46)</f>
        <v>99.295190853741985</v>
      </c>
      <c r="AH49" s="25"/>
      <c r="AJ49" s="25"/>
      <c r="AK49" s="25"/>
      <c r="AL49" s="26"/>
      <c r="AM49" s="25"/>
      <c r="AN49" s="25"/>
      <c r="AO49" s="30"/>
      <c r="AP49" s="31" t="s">
        <v>148</v>
      </c>
      <c r="AQ49" s="122">
        <f>SUM(AQ18:AQ46)</f>
        <v>102.92180409582919</v>
      </c>
      <c r="AR49" s="25"/>
    </row>
    <row r="50" spans="2:44" x14ac:dyDescent="0.2">
      <c r="C50" t="str">
        <f>C44</f>
        <v>plastic</v>
      </c>
      <c r="D50" s="10">
        <f>100-D44</f>
        <v>92.858827096035299</v>
      </c>
      <c r="E50" s="10">
        <f>100-E44</f>
        <v>89.402850072604735</v>
      </c>
      <c r="F50" s="10">
        <f>D50-E50</f>
        <v>3.4559770234305631</v>
      </c>
      <c r="G50" s="17">
        <f>F50/D50*100</f>
        <v>3.72175390483488</v>
      </c>
      <c r="H50" s="1" t="s">
        <v>2</v>
      </c>
      <c r="P50" s="25"/>
      <c r="Q50" s="25"/>
      <c r="R50" s="26"/>
      <c r="S50" s="25"/>
      <c r="T50" s="25"/>
      <c r="U50" s="25"/>
      <c r="V50" s="25"/>
      <c r="W50" s="25"/>
      <c r="X50" s="25"/>
      <c r="Z50" s="25"/>
      <c r="AA50" s="25"/>
      <c r="AB50" s="26"/>
      <c r="AC50" s="25"/>
      <c r="AD50" s="25"/>
      <c r="AE50" s="25"/>
      <c r="AF50" s="25"/>
      <c r="AG50" s="25"/>
      <c r="AH50" s="25"/>
      <c r="AJ50" s="25"/>
      <c r="AK50" s="25"/>
      <c r="AL50" s="26"/>
      <c r="AM50" s="25"/>
      <c r="AN50" s="25"/>
      <c r="AO50" s="25"/>
      <c r="AP50" s="25"/>
      <c r="AQ50" s="25"/>
      <c r="AR50" s="25"/>
    </row>
    <row r="51" spans="2:44" ht="13.5" thickBot="1" x14ac:dyDescent="0.25">
      <c r="C51" t="str">
        <f t="shared" ref="C51:C53" si="21">C45</f>
        <v>glass</v>
      </c>
      <c r="D51" s="10">
        <f t="shared" ref="D51:E53" si="22">100-D45</f>
        <v>47.182268332940346</v>
      </c>
      <c r="E51" s="10">
        <f t="shared" si="22"/>
        <v>21.621079782284113</v>
      </c>
      <c r="F51" s="10">
        <f t="shared" ref="F51:F53" si="23">D51-E51</f>
        <v>25.561188550656233</v>
      </c>
      <c r="G51" s="18">
        <f t="shared" ref="G51:G53" si="24">F51/D51*100</f>
        <v>54.175412615358866</v>
      </c>
      <c r="H51" s="1" t="s">
        <v>2</v>
      </c>
      <c r="P51" s="25"/>
      <c r="Q51" s="25"/>
      <c r="R51" s="26"/>
      <c r="S51" s="25"/>
      <c r="T51" s="25"/>
      <c r="U51" s="25"/>
      <c r="V51" s="25"/>
      <c r="W51" s="25"/>
      <c r="X51" s="25"/>
      <c r="Z51" s="25"/>
      <c r="AA51" s="25"/>
      <c r="AB51" s="26"/>
      <c r="AC51" s="25"/>
      <c r="AD51" s="25"/>
      <c r="AE51" s="25"/>
      <c r="AF51" s="25"/>
      <c r="AG51" s="25"/>
      <c r="AH51" s="25"/>
      <c r="AJ51" s="25"/>
      <c r="AK51" s="25"/>
      <c r="AL51" s="26"/>
      <c r="AM51" s="25"/>
      <c r="AN51" s="25"/>
      <c r="AO51" s="25"/>
      <c r="AP51" s="25"/>
      <c r="AQ51" s="25"/>
      <c r="AR51" s="25"/>
    </row>
    <row r="52" spans="2:44" ht="13.5" thickBot="1" x14ac:dyDescent="0.25">
      <c r="C52" t="str">
        <f t="shared" si="21"/>
        <v>metals</v>
      </c>
      <c r="D52" s="10">
        <f t="shared" si="22"/>
        <v>75.477481726008023</v>
      </c>
      <c r="E52" s="10">
        <f t="shared" si="22"/>
        <v>63.609787041774759</v>
      </c>
      <c r="F52" s="10">
        <f t="shared" si="23"/>
        <v>11.867694684233264</v>
      </c>
      <c r="G52" s="18">
        <f t="shared" si="24"/>
        <v>15.72349052041027</v>
      </c>
      <c r="H52" s="1" t="s">
        <v>2</v>
      </c>
      <c r="P52" s="25"/>
      <c r="Q52" s="25"/>
      <c r="R52" s="26"/>
      <c r="S52" s="25"/>
      <c r="T52" s="25"/>
      <c r="U52" s="30" t="s">
        <v>99</v>
      </c>
      <c r="V52" s="32"/>
      <c r="W52" s="35">
        <f>100-W49</f>
        <v>4.6317871096500483</v>
      </c>
      <c r="X52" s="33" t="s">
        <v>2</v>
      </c>
      <c r="Z52" s="25"/>
      <c r="AA52" s="25"/>
      <c r="AB52" s="26"/>
      <c r="AC52" s="25"/>
      <c r="AD52" s="25"/>
      <c r="AE52" s="30" t="s">
        <v>99</v>
      </c>
      <c r="AF52" s="32"/>
      <c r="AG52" s="35">
        <f>100-AG49</f>
        <v>0.70480914625801461</v>
      </c>
      <c r="AH52" s="33" t="s">
        <v>2</v>
      </c>
      <c r="AJ52" s="25"/>
      <c r="AK52" s="25"/>
      <c r="AL52" s="26"/>
      <c r="AM52" s="25"/>
      <c r="AN52" s="25"/>
      <c r="AO52" s="30" t="s">
        <v>99</v>
      </c>
      <c r="AP52" s="32"/>
      <c r="AQ52" s="35">
        <f>100-AQ49</f>
        <v>-2.921804095829188</v>
      </c>
      <c r="AR52" s="33" t="s">
        <v>2</v>
      </c>
    </row>
    <row r="53" spans="2:44" ht="13.5" thickBot="1" x14ac:dyDescent="0.25">
      <c r="C53" t="str">
        <f t="shared" si="21"/>
        <v>paper</v>
      </c>
      <c r="D53" s="10">
        <f t="shared" si="22"/>
        <v>59.490686158924781</v>
      </c>
      <c r="E53" s="10">
        <f t="shared" si="22"/>
        <v>39.886167440162552</v>
      </c>
      <c r="F53" s="10">
        <f t="shared" si="23"/>
        <v>19.604518718762229</v>
      </c>
      <c r="G53" s="19">
        <f t="shared" si="24"/>
        <v>32.953929403991523</v>
      </c>
      <c r="H53" s="1" t="s">
        <v>2</v>
      </c>
      <c r="P53" s="25"/>
      <c r="Q53" s="25"/>
      <c r="R53" s="26"/>
      <c r="S53" s="25"/>
      <c r="T53" s="25"/>
      <c r="U53" s="25"/>
      <c r="V53" s="25"/>
      <c r="W53" s="25"/>
      <c r="X53" s="25"/>
      <c r="Z53" s="25"/>
      <c r="AA53" s="25"/>
      <c r="AB53" s="26"/>
      <c r="AC53" s="25"/>
      <c r="AD53" s="25"/>
      <c r="AE53" s="25"/>
      <c r="AF53" s="25"/>
      <c r="AG53" s="25"/>
      <c r="AH53" s="25"/>
      <c r="AJ53" s="25"/>
      <c r="AK53" s="25"/>
      <c r="AL53" s="26"/>
      <c r="AM53" s="25"/>
      <c r="AN53" s="25"/>
      <c r="AO53" s="25"/>
      <c r="AP53" s="25"/>
      <c r="AQ53" s="25"/>
      <c r="AR53" s="25"/>
    </row>
    <row r="54" spans="2:44" x14ac:dyDescent="0.2">
      <c r="E54" s="10"/>
      <c r="F54" t="s">
        <v>106</v>
      </c>
      <c r="G54">
        <v>0</v>
      </c>
      <c r="H54" s="1" t="s">
        <v>2</v>
      </c>
    </row>
    <row r="55" spans="2:44" x14ac:dyDescent="0.2">
      <c r="C55" s="53"/>
      <c r="F55" t="s">
        <v>82</v>
      </c>
      <c r="G55">
        <v>0</v>
      </c>
      <c r="H55" s="1" t="s">
        <v>2</v>
      </c>
    </row>
    <row r="56" spans="2:44" x14ac:dyDescent="0.2">
      <c r="B56" s="84"/>
      <c r="C56" s="53"/>
    </row>
    <row r="57" spans="2:44" x14ac:dyDescent="0.2">
      <c r="B57" s="84" t="s">
        <v>30</v>
      </c>
      <c r="C57" s="53"/>
    </row>
    <row r="58" spans="2:44" ht="13.5" thickBot="1" x14ac:dyDescent="0.25">
      <c r="D58" t="s">
        <v>32</v>
      </c>
      <c r="E58" t="s">
        <v>33</v>
      </c>
      <c r="G58" t="str">
        <f>D58</f>
        <v>packaging</v>
      </c>
      <c r="I58" t="s">
        <v>174</v>
      </c>
    </row>
    <row r="59" spans="2:44" ht="13.5" thickTop="1" x14ac:dyDescent="0.2">
      <c r="B59" t="s">
        <v>31</v>
      </c>
      <c r="C59" t="s">
        <v>7</v>
      </c>
      <c r="D59" s="88">
        <v>2470</v>
      </c>
      <c r="E59" s="89">
        <v>32566</v>
      </c>
      <c r="G59" s="10">
        <f>D59/(D59+E59)*100</f>
        <v>7.0498915401301518</v>
      </c>
      <c r="H59" s="1" t="s">
        <v>2</v>
      </c>
      <c r="I59" s="10">
        <f>G59+G61*(G59/(G59+G60))</f>
        <v>7.2873114912236856</v>
      </c>
      <c r="J59" t="s">
        <v>2</v>
      </c>
      <c r="L59" t="str">
        <f>CONCATENATE(ROUND(I59,1),"% of ",B59," ",C59," litter consists of packaging")</f>
        <v>7,3% of NOR industrial litter consists of packaging</v>
      </c>
    </row>
    <row r="60" spans="2:44" x14ac:dyDescent="0.2">
      <c r="B60" t="s">
        <v>31</v>
      </c>
      <c r="C60" t="s">
        <v>34</v>
      </c>
      <c r="D60" s="90">
        <v>18577</v>
      </c>
      <c r="E60" s="91">
        <v>10205</v>
      </c>
      <c r="G60" s="10">
        <f t="shared" ref="G60:G70" si="25">D60/(D60+E60)*100</f>
        <v>64.543812104787719</v>
      </c>
      <c r="H60" s="1" t="s">
        <v>2</v>
      </c>
      <c r="I60" s="10">
        <f>G60+G61*(G60/(G59+G60))</f>
        <v>66.717460965352458</v>
      </c>
      <c r="J60" t="s">
        <v>2</v>
      </c>
      <c r="L60" t="str">
        <f t="shared" ref="L60:L69" si="26">CONCATENATE(ROUND(I60,1),"% of ",B60," ",C60," litter consists of packaging")</f>
        <v>66,7% of NOR consumer litter consists of packaging</v>
      </c>
    </row>
    <row r="61" spans="2:44" x14ac:dyDescent="0.2">
      <c r="B61" t="s">
        <v>31</v>
      </c>
      <c r="C61" t="s">
        <v>8</v>
      </c>
      <c r="D61" s="90">
        <v>589</v>
      </c>
      <c r="E61" s="91">
        <v>23840</v>
      </c>
      <c r="G61" s="10">
        <f t="shared" si="25"/>
        <v>2.411068811658275</v>
      </c>
      <c r="H61" s="1" t="s">
        <v>2</v>
      </c>
      <c r="I61" s="10"/>
    </row>
    <row r="62" spans="2:44" x14ac:dyDescent="0.2">
      <c r="B62" t="s">
        <v>35</v>
      </c>
      <c r="C62" t="s">
        <v>7</v>
      </c>
      <c r="D62" s="90">
        <v>1181</v>
      </c>
      <c r="E62" s="92">
        <v>2444</v>
      </c>
      <c r="G62" s="10">
        <f t="shared" si="25"/>
        <v>32.57931034482759</v>
      </c>
      <c r="H62" s="1" t="s">
        <v>2</v>
      </c>
      <c r="I62" s="10">
        <f>G62+G64*(G62/(G62+G63))</f>
        <v>33.490694179104082</v>
      </c>
      <c r="J62" t="s">
        <v>2</v>
      </c>
      <c r="L62" t="str">
        <f t="shared" si="26"/>
        <v>33,5% of BAL industrial litter consists of packaging</v>
      </c>
    </row>
    <row r="63" spans="2:44" x14ac:dyDescent="0.2">
      <c r="B63" t="s">
        <v>35</v>
      </c>
      <c r="C63" t="s">
        <v>34</v>
      </c>
      <c r="D63" s="90">
        <v>6272</v>
      </c>
      <c r="E63" s="92">
        <v>3949</v>
      </c>
      <c r="G63" s="10">
        <f t="shared" si="25"/>
        <v>61.363858722238533</v>
      </c>
      <c r="H63" s="1" t="s">
        <v>2</v>
      </c>
      <c r="I63" s="10">
        <f>G63+G64*(G63/(G62+G63))</f>
        <v>63.080470530663561</v>
      </c>
      <c r="J63" t="s">
        <v>2</v>
      </c>
      <c r="L63" t="str">
        <f t="shared" si="26"/>
        <v>63,1% of BAL consumer litter consists of packaging</v>
      </c>
      <c r="R63" s="1" t="s">
        <v>67</v>
      </c>
    </row>
    <row r="64" spans="2:44" x14ac:dyDescent="0.2">
      <c r="B64" t="s">
        <v>35</v>
      </c>
      <c r="C64" t="s">
        <v>8</v>
      </c>
      <c r="D64" s="90">
        <v>193</v>
      </c>
      <c r="E64" s="92">
        <v>7151</v>
      </c>
      <c r="G64" s="10">
        <f t="shared" si="25"/>
        <v>2.6279956427015252</v>
      </c>
      <c r="H64" s="1" t="s">
        <v>2</v>
      </c>
    </row>
    <row r="65" spans="2:32" ht="13.5" thickBot="1" x14ac:dyDescent="0.25">
      <c r="B65" t="s">
        <v>36</v>
      </c>
      <c r="C65" t="s">
        <v>7</v>
      </c>
      <c r="D65" s="90">
        <v>15</v>
      </c>
      <c r="E65" s="91">
        <v>320</v>
      </c>
      <c r="G65" s="10">
        <f t="shared" si="25"/>
        <v>4.4776119402985071</v>
      </c>
      <c r="H65" s="1" t="s">
        <v>2</v>
      </c>
      <c r="I65" s="10">
        <f>G65+G67*(G65/(G65+G66))</f>
        <v>4.7310359768566617</v>
      </c>
      <c r="J65" t="s">
        <v>2</v>
      </c>
      <c r="L65" t="str">
        <f t="shared" si="26"/>
        <v>4,7% of BLA industrial litter consists of packaging</v>
      </c>
      <c r="R65"/>
      <c r="S65" t="s">
        <v>53</v>
      </c>
      <c r="T65" t="s">
        <v>54</v>
      </c>
      <c r="U65" t="s">
        <v>55</v>
      </c>
    </row>
    <row r="66" spans="2:32" ht="13.5" thickTop="1" x14ac:dyDescent="0.2">
      <c r="B66" t="s">
        <v>36</v>
      </c>
      <c r="C66" t="s">
        <v>34</v>
      </c>
      <c r="D66" s="90">
        <v>2636</v>
      </c>
      <c r="E66" s="92">
        <v>2609</v>
      </c>
      <c r="G66" s="10">
        <f t="shared" si="25"/>
        <v>50.257387988560531</v>
      </c>
      <c r="H66" s="1" t="s">
        <v>2</v>
      </c>
      <c r="I66" s="10">
        <f>G66+G67*(G66/(G65+G66))</f>
        <v>53.101857384468303</v>
      </c>
      <c r="J66" t="s">
        <v>2</v>
      </c>
      <c r="L66" t="str">
        <f t="shared" si="26"/>
        <v>53,1% of BLA consumer litter consists of packaging</v>
      </c>
      <c r="R66" s="9" t="s">
        <v>56</v>
      </c>
      <c r="S66" s="138">
        <v>13080</v>
      </c>
      <c r="T66" s="139">
        <f>S66/$S$70</f>
        <v>0.26286173633440513</v>
      </c>
      <c r="U66" s="140">
        <v>152</v>
      </c>
    </row>
    <row r="67" spans="2:32" x14ac:dyDescent="0.2">
      <c r="B67" t="s">
        <v>36</v>
      </c>
      <c r="C67" t="s">
        <v>8</v>
      </c>
      <c r="D67" s="90">
        <v>25</v>
      </c>
      <c r="E67" s="91">
        <v>782</v>
      </c>
      <c r="G67" s="10">
        <f t="shared" si="25"/>
        <v>3.0978934324659235</v>
      </c>
      <c r="H67" s="1" t="s">
        <v>2</v>
      </c>
      <c r="I67" s="10"/>
      <c r="R67" s="9" t="s">
        <v>57</v>
      </c>
      <c r="S67" s="141">
        <v>16164</v>
      </c>
      <c r="T67" s="11">
        <f t="shared" ref="T67:T69" si="27">S67/$S$70</f>
        <v>0.32483922829581996</v>
      </c>
      <c r="U67" s="142">
        <v>33</v>
      </c>
    </row>
    <row r="68" spans="2:32" x14ac:dyDescent="0.2">
      <c r="B68" t="s">
        <v>37</v>
      </c>
      <c r="C68" t="s">
        <v>7</v>
      </c>
      <c r="D68" s="90">
        <v>241</v>
      </c>
      <c r="E68" s="92">
        <v>535</v>
      </c>
      <c r="G68" s="10">
        <f t="shared" si="25"/>
        <v>31.056701030927837</v>
      </c>
      <c r="H68" s="1" t="s">
        <v>2</v>
      </c>
      <c r="I68" s="10">
        <f>G68+G70*(G68/(G68+G69))</f>
        <v>32.847440903542989</v>
      </c>
      <c r="J68" t="s">
        <v>2</v>
      </c>
      <c r="L68" t="str">
        <f t="shared" si="26"/>
        <v>32,8% of MED industrial litter consists of packaging</v>
      </c>
      <c r="R68" s="9" t="s">
        <v>58</v>
      </c>
      <c r="S68" s="141">
        <v>19885</v>
      </c>
      <c r="T68" s="11">
        <f t="shared" si="27"/>
        <v>0.39961816720257237</v>
      </c>
      <c r="U68" s="142">
        <v>151</v>
      </c>
    </row>
    <row r="69" spans="2:32" ht="13.5" thickBot="1" x14ac:dyDescent="0.25">
      <c r="B69" t="s">
        <v>37</v>
      </c>
      <c r="C69" t="s">
        <v>34</v>
      </c>
      <c r="D69" s="90">
        <v>17044</v>
      </c>
      <c r="E69" s="91">
        <v>6716</v>
      </c>
      <c r="G69" s="10">
        <f t="shared" si="25"/>
        <v>71.734006734006741</v>
      </c>
      <c r="H69" s="1" t="s">
        <v>2</v>
      </c>
      <c r="I69" s="10">
        <f>G69+G70*(G69/(G68+G69))</f>
        <v>75.870213794541144</v>
      </c>
      <c r="J69" t="s">
        <v>2</v>
      </c>
      <c r="L69" t="str">
        <f t="shared" si="26"/>
        <v>75,9% of MED consumer litter consists of packaging</v>
      </c>
      <c r="R69" s="9" t="s">
        <v>59</v>
      </c>
      <c r="S69" s="143">
        <v>631</v>
      </c>
      <c r="T69" s="144">
        <f t="shared" si="27"/>
        <v>1.2680868167202573E-2</v>
      </c>
      <c r="U69" s="145">
        <v>7</v>
      </c>
    </row>
    <row r="70" spans="2:32" ht="14.25" thickTop="1" thickBot="1" x14ac:dyDescent="0.25">
      <c r="B70" t="s">
        <v>37</v>
      </c>
      <c r="C70" t="s">
        <v>8</v>
      </c>
      <c r="D70" s="93">
        <v>86</v>
      </c>
      <c r="E70" s="94">
        <v>1365</v>
      </c>
      <c r="G70" s="10">
        <f t="shared" si="25"/>
        <v>5.9269469331495523</v>
      </c>
      <c r="H70" s="1" t="s">
        <v>2</v>
      </c>
      <c r="R70" s="9" t="s">
        <v>60</v>
      </c>
      <c r="S70" s="57">
        <f>SUM(S66:S69)</f>
        <v>49760</v>
      </c>
      <c r="T70" s="3">
        <f>SUM(T66:T69)</f>
        <v>1</v>
      </c>
      <c r="U70">
        <f>SUM(U66:U69)</f>
        <v>343</v>
      </c>
    </row>
    <row r="71" spans="2:32" ht="13.5" thickTop="1" x14ac:dyDescent="0.2">
      <c r="I71" s="147">
        <f>AE81</f>
        <v>60.789731032131009</v>
      </c>
      <c r="J71" t="s">
        <v>2</v>
      </c>
      <c r="L71" t="str">
        <f>CONCATENATE(ROUND(I71,1),"% of EU consumer litter consists of packaging")</f>
        <v>60,8% of EU consumer litter consists of packaging</v>
      </c>
    </row>
    <row r="72" spans="2:32" x14ac:dyDescent="0.2">
      <c r="I72" s="147">
        <f>AE80</f>
        <v>7.3719774495337935</v>
      </c>
      <c r="J72" t="s">
        <v>2</v>
      </c>
      <c r="L72" t="str">
        <f>CONCATENATE(ROUND(I72,1),"% of EU industrial litter consists of packaging")</f>
        <v>7,4% of EU industrial litter consists of packaging</v>
      </c>
    </row>
    <row r="73" spans="2:32" x14ac:dyDescent="0.2">
      <c r="R73" s="1" t="s">
        <v>273</v>
      </c>
    </row>
    <row r="74" spans="2:32" x14ac:dyDescent="0.2">
      <c r="R74" s="265"/>
      <c r="S74" s="194"/>
      <c r="T74" s="194"/>
      <c r="U74" s="194"/>
      <c r="V74" s="194"/>
      <c r="W74" s="194" t="s">
        <v>189</v>
      </c>
      <c r="X74" s="194"/>
      <c r="Y74" s="194" t="s">
        <v>190</v>
      </c>
      <c r="Z74" s="194"/>
      <c r="AA74" s="194"/>
      <c r="AB74" s="194"/>
      <c r="AC74" s="194" t="s">
        <v>13</v>
      </c>
      <c r="AD74" s="194"/>
      <c r="AE74" s="194"/>
      <c r="AF74" s="195"/>
    </row>
    <row r="75" spans="2:32" x14ac:dyDescent="0.2">
      <c r="R75" s="267"/>
      <c r="S75" s="79"/>
      <c r="T75" s="80" t="str">
        <f t="shared" ref="S75:U76" si="28">D58</f>
        <v>packaging</v>
      </c>
      <c r="U75" s="80" t="str">
        <f t="shared" si="28"/>
        <v>non packaging</v>
      </c>
      <c r="V75" s="79"/>
      <c r="W75" s="80" t="str">
        <f>T75</f>
        <v>packaging</v>
      </c>
      <c r="X75" s="80" t="str">
        <f>U75</f>
        <v>non packaging</v>
      </c>
      <c r="Y75" s="80" t="str">
        <f>W75</f>
        <v>packaging</v>
      </c>
      <c r="Z75" s="80" t="str">
        <f>X75</f>
        <v>non packaging</v>
      </c>
      <c r="AA75" s="79"/>
      <c r="AB75" s="79"/>
      <c r="AC75" s="79" t="s">
        <v>32</v>
      </c>
      <c r="AD75" s="79" t="s">
        <v>33</v>
      </c>
      <c r="AE75" s="79" t="s">
        <v>192</v>
      </c>
      <c r="AF75" s="184"/>
    </row>
    <row r="76" spans="2:32" x14ac:dyDescent="0.2">
      <c r="R76" s="267" t="str">
        <f>B59</f>
        <v>NOR</v>
      </c>
      <c r="S76" s="80" t="str">
        <f t="shared" si="28"/>
        <v>industrial</v>
      </c>
      <c r="T76" s="80">
        <f>D59</f>
        <v>2470</v>
      </c>
      <c r="U76" s="80">
        <f t="shared" si="28"/>
        <v>32566</v>
      </c>
      <c r="V76" s="79"/>
      <c r="W76" s="80">
        <f>T76/$U$68</f>
        <v>16.357615894039736</v>
      </c>
      <c r="X76" s="80">
        <f>U76/$U$68</f>
        <v>215.66887417218544</v>
      </c>
      <c r="Y76" s="79">
        <f>W76*10*$S$68</f>
        <v>3252711.9205298014</v>
      </c>
      <c r="Z76" s="79">
        <f>X76*10*$S$68</f>
        <v>42885755.629139081</v>
      </c>
      <c r="AA76" s="79"/>
      <c r="AB76" s="287" t="str">
        <f>S76</f>
        <v>industrial</v>
      </c>
      <c r="AC76" s="79">
        <f t="shared" ref="AC76:AD78" si="29">Y76+Y79+Y82+Y85</f>
        <v>5462976.746230416</v>
      </c>
      <c r="AD76" s="79">
        <f t="shared" si="29"/>
        <v>47897866.360512972</v>
      </c>
      <c r="AE76" s="164">
        <f>AC76/(AC76+AD76)*100</f>
        <v>10.237800657126501</v>
      </c>
      <c r="AF76" s="196"/>
    </row>
    <row r="77" spans="2:32" x14ac:dyDescent="0.2">
      <c r="R77" s="267" t="str">
        <f t="shared" ref="R77:R83" si="30">B60</f>
        <v>NOR</v>
      </c>
      <c r="S77" s="80" t="str">
        <f t="shared" ref="S77:S84" si="31">C60</f>
        <v>consumer</v>
      </c>
      <c r="T77" s="80">
        <f t="shared" ref="T77:T84" si="32">D60</f>
        <v>18577</v>
      </c>
      <c r="U77" s="80">
        <f t="shared" ref="U77:U84" si="33">E60</f>
        <v>10205</v>
      </c>
      <c r="V77" s="79"/>
      <c r="W77" s="80">
        <f t="shared" ref="W77:X78" si="34">T77/$U$68</f>
        <v>123.02649006622516</v>
      </c>
      <c r="X77" s="80">
        <f t="shared" si="34"/>
        <v>67.58278145695364</v>
      </c>
      <c r="Y77" s="79">
        <f t="shared" ref="Y77:Z78" si="35">W77*10*$S$68</f>
        <v>24463817.549668875</v>
      </c>
      <c r="Z77" s="79">
        <f t="shared" si="35"/>
        <v>13438836.09271523</v>
      </c>
      <c r="AA77" s="79"/>
      <c r="AB77" s="287" t="str">
        <f>S77</f>
        <v>consumer</v>
      </c>
      <c r="AC77" s="79">
        <f t="shared" si="29"/>
        <v>115721815.22567707</v>
      </c>
      <c r="AD77" s="79">
        <f t="shared" si="29"/>
        <v>52085070.747534096</v>
      </c>
      <c r="AE77" s="164">
        <f t="shared" ref="AE77:AE78" si="36">AC77/(AC77+AD77)*100</f>
        <v>68.961303080346184</v>
      </c>
      <c r="AF77" s="196"/>
    </row>
    <row r="78" spans="2:32" x14ac:dyDescent="0.2">
      <c r="R78" s="267" t="str">
        <f t="shared" si="30"/>
        <v>NOR</v>
      </c>
      <c r="S78" s="80" t="str">
        <f t="shared" si="31"/>
        <v>unknown</v>
      </c>
      <c r="T78" s="80">
        <f t="shared" si="32"/>
        <v>589</v>
      </c>
      <c r="U78" s="80">
        <f t="shared" si="33"/>
        <v>23840</v>
      </c>
      <c r="V78" s="79"/>
      <c r="W78" s="80">
        <f t="shared" si="34"/>
        <v>3.9006622516556293</v>
      </c>
      <c r="X78" s="80">
        <f t="shared" si="34"/>
        <v>157.88079470198676</v>
      </c>
      <c r="Y78" s="79">
        <f t="shared" si="35"/>
        <v>775646.68874172179</v>
      </c>
      <c r="Z78" s="79">
        <f t="shared" si="35"/>
        <v>31394596.02649007</v>
      </c>
      <c r="AA78" s="79"/>
      <c r="AB78" s="287" t="str">
        <f>S78</f>
        <v>unknown</v>
      </c>
      <c r="AC78" s="79">
        <f t="shared" si="29"/>
        <v>1385507.618338441</v>
      </c>
      <c r="AD78" s="79">
        <f t="shared" si="29"/>
        <v>44939155.035375915</v>
      </c>
      <c r="AE78" s="164">
        <f t="shared" si="36"/>
        <v>2.9908639134522645</v>
      </c>
      <c r="AF78" s="184"/>
    </row>
    <row r="79" spans="2:32" x14ac:dyDescent="0.2">
      <c r="R79" s="267" t="str">
        <f t="shared" si="30"/>
        <v>BAL</v>
      </c>
      <c r="S79" s="80" t="str">
        <f t="shared" si="31"/>
        <v>industrial</v>
      </c>
      <c r="T79" s="80">
        <f t="shared" si="32"/>
        <v>1181</v>
      </c>
      <c r="U79" s="80">
        <f t="shared" si="33"/>
        <v>2444</v>
      </c>
      <c r="V79" s="79"/>
      <c r="W79" s="80">
        <f>T79/$U$66</f>
        <v>7.7697368421052628</v>
      </c>
      <c r="X79" s="80">
        <f>U79/$U$66</f>
        <v>16.078947368421051</v>
      </c>
      <c r="Y79" s="79">
        <f>W79*10*$S$66</f>
        <v>1016281.5789473684</v>
      </c>
      <c r="Z79" s="79">
        <f>X79*10*$S$66</f>
        <v>2103126.3157894737</v>
      </c>
      <c r="AA79" s="79"/>
      <c r="AB79" s="79"/>
      <c r="AC79" s="79" t="s">
        <v>191</v>
      </c>
      <c r="AD79" s="79"/>
      <c r="AE79" s="79"/>
      <c r="AF79" s="184"/>
    </row>
    <row r="80" spans="2:32" x14ac:dyDescent="0.2">
      <c r="R80" s="267" t="str">
        <f t="shared" si="30"/>
        <v>BAL</v>
      </c>
      <c r="S80" s="80" t="str">
        <f t="shared" si="31"/>
        <v>consumer</v>
      </c>
      <c r="T80" s="80">
        <f t="shared" si="32"/>
        <v>6272</v>
      </c>
      <c r="U80" s="80">
        <f t="shared" si="33"/>
        <v>3949</v>
      </c>
      <c r="V80" s="79"/>
      <c r="W80" s="80">
        <f t="shared" ref="W80:X81" si="37">T80/$U$66</f>
        <v>41.263157894736842</v>
      </c>
      <c r="X80" s="80">
        <f t="shared" si="37"/>
        <v>25.980263157894736</v>
      </c>
      <c r="Y80" s="79">
        <f t="shared" ref="Y80:Z81" si="38">W80*10*$S$66</f>
        <v>5397221.0526315793</v>
      </c>
      <c r="Z80" s="79">
        <f t="shared" si="38"/>
        <v>3398218.4210526315</v>
      </c>
      <c r="AA80" s="79"/>
      <c r="AB80" s="80" t="str">
        <f>AB76</f>
        <v>industrial</v>
      </c>
      <c r="AC80" s="79">
        <f>AC76+AC78*(AC76/(AC76+AC77))</f>
        <v>5525435.0446484433</v>
      </c>
      <c r="AD80" s="79">
        <f>AD76+AD78*(AD76/(AD76+AD77))</f>
        <v>69426436.179508299</v>
      </c>
      <c r="AE80" s="164">
        <f>AC80/(AC80+AD80)*100</f>
        <v>7.3719774495337935</v>
      </c>
      <c r="AF80" s="196" t="s">
        <v>2</v>
      </c>
    </row>
    <row r="81" spans="2:32" x14ac:dyDescent="0.2">
      <c r="R81" s="267" t="str">
        <f t="shared" si="30"/>
        <v>BAL</v>
      </c>
      <c r="S81" s="80" t="str">
        <f t="shared" si="31"/>
        <v>unknown</v>
      </c>
      <c r="T81" s="80">
        <f t="shared" si="32"/>
        <v>193</v>
      </c>
      <c r="U81" s="80">
        <f t="shared" si="33"/>
        <v>7151</v>
      </c>
      <c r="V81" s="79"/>
      <c r="W81" s="80">
        <f t="shared" si="37"/>
        <v>1.2697368421052631</v>
      </c>
      <c r="X81" s="80">
        <f t="shared" si="37"/>
        <v>47.046052631578945</v>
      </c>
      <c r="Y81" s="79">
        <f t="shared" si="38"/>
        <v>166081.5789473684</v>
      </c>
      <c r="Z81" s="79">
        <f t="shared" si="38"/>
        <v>6153623.6842105268</v>
      </c>
      <c r="AA81" s="79"/>
      <c r="AB81" s="80" t="str">
        <f>AB77</f>
        <v>consumer</v>
      </c>
      <c r="AC81" s="79">
        <f>AC77+AC78*(AC77/(AC76+AC77))</f>
        <v>117044864.54559749</v>
      </c>
      <c r="AD81" s="79">
        <f>AD77+AD78*(AD77/(AD76+AD77))</f>
        <v>75495655.963914692</v>
      </c>
      <c r="AE81" s="164">
        <f>AC81/(AC81+AD81)*100</f>
        <v>60.789731032131009</v>
      </c>
      <c r="AF81" s="184" t="s">
        <v>2</v>
      </c>
    </row>
    <row r="82" spans="2:32" x14ac:dyDescent="0.2">
      <c r="R82" s="267" t="str">
        <f t="shared" si="30"/>
        <v>BLA</v>
      </c>
      <c r="S82" s="80" t="str">
        <f t="shared" si="31"/>
        <v>industrial</v>
      </c>
      <c r="T82" s="80">
        <f t="shared" si="32"/>
        <v>15</v>
      </c>
      <c r="U82" s="80">
        <f t="shared" si="33"/>
        <v>320</v>
      </c>
      <c r="V82" s="79"/>
      <c r="W82" s="80">
        <f>T82/$U$69</f>
        <v>2.1428571428571428</v>
      </c>
      <c r="X82" s="80">
        <f>U82/$U$69</f>
        <v>45.714285714285715</v>
      </c>
      <c r="Y82" s="79">
        <f>W82*10*$S$69</f>
        <v>13521.428571428571</v>
      </c>
      <c r="Z82" s="79">
        <f>X82*10*$S$69</f>
        <v>288457.1428571429</v>
      </c>
      <c r="AA82" s="79"/>
      <c r="AB82" s="79"/>
      <c r="AC82" s="79"/>
      <c r="AD82" s="79"/>
      <c r="AE82" s="79"/>
      <c r="AF82" s="184"/>
    </row>
    <row r="83" spans="2:32" x14ac:dyDescent="0.2">
      <c r="R83" s="267" t="str">
        <f t="shared" si="30"/>
        <v>BLA</v>
      </c>
      <c r="S83" s="80" t="str">
        <f t="shared" si="31"/>
        <v>consumer</v>
      </c>
      <c r="T83" s="80">
        <f t="shared" si="32"/>
        <v>2636</v>
      </c>
      <c r="U83" s="80">
        <f t="shared" si="33"/>
        <v>2609</v>
      </c>
      <c r="V83" s="79"/>
      <c r="W83" s="80">
        <f t="shared" ref="W83:X84" si="39">T83/$U$69</f>
        <v>376.57142857142856</v>
      </c>
      <c r="X83" s="80">
        <f t="shared" si="39"/>
        <v>372.71428571428572</v>
      </c>
      <c r="Y83" s="79">
        <f t="shared" ref="Y83:Z84" si="40">W83*10*$S$69</f>
        <v>2376165.7142857141</v>
      </c>
      <c r="Z83" s="79">
        <f t="shared" si="40"/>
        <v>2351827.1428571432</v>
      </c>
      <c r="AA83" s="79"/>
      <c r="AB83" s="79"/>
      <c r="AC83" s="79"/>
      <c r="AD83" s="79"/>
      <c r="AE83" s="79"/>
      <c r="AF83" s="184"/>
    </row>
    <row r="84" spans="2:32" x14ac:dyDescent="0.2">
      <c r="R84" s="267" t="str">
        <f>B67</f>
        <v>BLA</v>
      </c>
      <c r="S84" s="80" t="str">
        <f t="shared" si="31"/>
        <v>unknown</v>
      </c>
      <c r="T84" s="80">
        <f t="shared" si="32"/>
        <v>25</v>
      </c>
      <c r="U84" s="80">
        <f t="shared" si="33"/>
        <v>782</v>
      </c>
      <c r="V84" s="79"/>
      <c r="W84" s="80">
        <f t="shared" si="39"/>
        <v>3.5714285714285716</v>
      </c>
      <c r="X84" s="80">
        <f t="shared" si="39"/>
        <v>111.71428571428571</v>
      </c>
      <c r="Y84" s="79">
        <f t="shared" si="40"/>
        <v>22535.714285714286</v>
      </c>
      <c r="Z84" s="79">
        <f>X84*10*$S$69</f>
        <v>704917.14285714284</v>
      </c>
      <c r="AA84" s="79"/>
      <c r="AB84" s="79"/>
      <c r="AC84" s="79"/>
      <c r="AD84" s="79"/>
      <c r="AE84" s="79"/>
      <c r="AF84" s="184"/>
    </row>
    <row r="85" spans="2:32" x14ac:dyDescent="0.2">
      <c r="R85" s="267" t="str">
        <f t="shared" ref="R85:R87" si="41">B68</f>
        <v>MED</v>
      </c>
      <c r="S85" s="80" t="str">
        <f t="shared" ref="S85:S87" si="42">C68</f>
        <v>industrial</v>
      </c>
      <c r="T85" s="80">
        <f t="shared" ref="T85:T87" si="43">D68</f>
        <v>241</v>
      </c>
      <c r="U85" s="80">
        <f t="shared" ref="U85:U87" si="44">E68</f>
        <v>535</v>
      </c>
      <c r="V85" s="79"/>
      <c r="W85" s="80">
        <f>T85/$U$67</f>
        <v>7.3030303030303028</v>
      </c>
      <c r="X85" s="80">
        <f>U85/$U$67</f>
        <v>16.212121212121211</v>
      </c>
      <c r="Y85" s="79">
        <f>W85*10*$S$67</f>
        <v>1180461.8181818181</v>
      </c>
      <c r="Z85" s="79">
        <f>X85*10*$S$67</f>
        <v>2620527.2727272729</v>
      </c>
      <c r="AA85" s="79"/>
      <c r="AB85" s="79"/>
      <c r="AC85" s="79"/>
      <c r="AD85" s="79"/>
      <c r="AE85" s="79"/>
      <c r="AF85" s="184"/>
    </row>
    <row r="86" spans="2:32" x14ac:dyDescent="0.2">
      <c r="R86" s="267" t="str">
        <f t="shared" si="41"/>
        <v>MED</v>
      </c>
      <c r="S86" s="80" t="str">
        <f t="shared" si="42"/>
        <v>consumer</v>
      </c>
      <c r="T86" s="80">
        <f t="shared" si="43"/>
        <v>17044</v>
      </c>
      <c r="U86" s="80">
        <f t="shared" si="44"/>
        <v>6716</v>
      </c>
      <c r="V86" s="79"/>
      <c r="W86" s="80">
        <f t="shared" ref="W86:X87" si="45">T86/$U$67</f>
        <v>516.4848484848485</v>
      </c>
      <c r="X86" s="80">
        <f t="shared" si="45"/>
        <v>203.5151515151515</v>
      </c>
      <c r="Y86" s="79">
        <f t="shared" ref="Y86:Z87" si="46">W86*10*$S$67</f>
        <v>83484610.909090906</v>
      </c>
      <c r="Z86" s="79">
        <f t="shared" si="46"/>
        <v>32896189.09090909</v>
      </c>
      <c r="AA86" s="79"/>
      <c r="AB86" s="79"/>
      <c r="AC86" s="79"/>
      <c r="AD86" s="79"/>
      <c r="AE86" s="79"/>
      <c r="AF86" s="184"/>
    </row>
    <row r="87" spans="2:32" x14ac:dyDescent="0.2">
      <c r="R87" s="269" t="str">
        <f t="shared" si="41"/>
        <v>MED</v>
      </c>
      <c r="S87" s="288" t="str">
        <f t="shared" si="42"/>
        <v>unknown</v>
      </c>
      <c r="T87" s="288">
        <f t="shared" si="43"/>
        <v>86</v>
      </c>
      <c r="U87" s="288">
        <f t="shared" si="44"/>
        <v>1365</v>
      </c>
      <c r="V87" s="181"/>
      <c r="W87" s="288">
        <f t="shared" si="45"/>
        <v>2.606060606060606</v>
      </c>
      <c r="X87" s="288">
        <f t="shared" si="45"/>
        <v>41.363636363636367</v>
      </c>
      <c r="Y87" s="181">
        <f t="shared" si="46"/>
        <v>421243.63636363635</v>
      </c>
      <c r="Z87" s="181">
        <f t="shared" si="46"/>
        <v>6686018.1818181826</v>
      </c>
      <c r="AA87" s="181"/>
      <c r="AB87" s="181"/>
      <c r="AC87" s="181"/>
      <c r="AD87" s="181"/>
      <c r="AE87" s="181"/>
      <c r="AF87" s="186"/>
    </row>
    <row r="88" spans="2:32" x14ac:dyDescent="0.2">
      <c r="S88" s="1"/>
      <c r="T88" s="1"/>
      <c r="U88" s="1"/>
    </row>
    <row r="89" spans="2:32" x14ac:dyDescent="0.2">
      <c r="B89" s="84" t="s">
        <v>68</v>
      </c>
      <c r="C89" s="53"/>
    </row>
    <row r="90" spans="2:32" x14ac:dyDescent="0.2">
      <c r="S90" t="s">
        <v>274</v>
      </c>
    </row>
    <row r="91" spans="2:32" x14ac:dyDescent="0.2">
      <c r="B91" t="s">
        <v>185</v>
      </c>
      <c r="J91" t="s">
        <v>186</v>
      </c>
      <c r="L91" t="s">
        <v>187</v>
      </c>
      <c r="N91" t="s">
        <v>188</v>
      </c>
    </row>
    <row r="92" spans="2:32" ht="15" thickBot="1" x14ac:dyDescent="0.25">
      <c r="B92" s="97" t="s">
        <v>69</v>
      </c>
      <c r="C92" s="12" t="s">
        <v>70</v>
      </c>
      <c r="D92" s="12" t="s">
        <v>71</v>
      </c>
      <c r="E92" s="12" t="s">
        <v>72</v>
      </c>
      <c r="F92" s="12" t="s">
        <v>73</v>
      </c>
      <c r="S92" t="s">
        <v>70</v>
      </c>
      <c r="T92" s="9" t="s">
        <v>71</v>
      </c>
      <c r="U92" t="s">
        <v>73</v>
      </c>
      <c r="V92" t="s">
        <v>69</v>
      </c>
      <c r="W92" t="s">
        <v>72</v>
      </c>
    </row>
    <row r="93" spans="2:32" ht="15" thickTop="1" x14ac:dyDescent="0.2">
      <c r="B93" s="274">
        <v>219</v>
      </c>
      <c r="C93" s="96" t="s">
        <v>35</v>
      </c>
      <c r="D93" s="14" t="s">
        <v>63</v>
      </c>
      <c r="E93" s="14" t="s">
        <v>32</v>
      </c>
      <c r="F93" s="14" t="s">
        <v>34</v>
      </c>
      <c r="H93" s="1">
        <f t="shared" ref="H93:H98" si="47">B93/$B$99*100</f>
        <v>3.3973033008968847</v>
      </c>
      <c r="J93">
        <f>B93/$U$66</f>
        <v>1.4407894736842106</v>
      </c>
      <c r="L93">
        <f>J93*10*$S$66</f>
        <v>188455.26315789475</v>
      </c>
      <c r="N93" s="9" t="str">
        <f>D93</f>
        <v>glass</v>
      </c>
      <c r="O93">
        <f>L93+L100+L107+L114</f>
        <v>4956299.1153983697</v>
      </c>
      <c r="P93" s="2">
        <f t="shared" ref="P93:P98" si="48">O93/$O$100*100</f>
        <v>4.2372390540296649</v>
      </c>
      <c r="Q93" t="s">
        <v>2</v>
      </c>
      <c r="S93" t="s">
        <v>35</v>
      </c>
      <c r="T93" s="9" t="s">
        <v>74</v>
      </c>
      <c r="U93" t="s">
        <v>75</v>
      </c>
      <c r="V93">
        <v>2</v>
      </c>
      <c r="W93" t="s">
        <v>32</v>
      </c>
      <c r="Y93" s="193" t="s">
        <v>63</v>
      </c>
      <c r="Z93" s="194" t="s">
        <v>34</v>
      </c>
      <c r="AA93" s="195">
        <f>V94</f>
        <v>219</v>
      </c>
    </row>
    <row r="94" spans="2:32" ht="14.25" x14ac:dyDescent="0.2">
      <c r="B94" s="275">
        <v>1046.9933523266857</v>
      </c>
      <c r="C94" s="96" t="s">
        <v>35</v>
      </c>
      <c r="D94" s="14" t="s">
        <v>76</v>
      </c>
      <c r="E94" s="14" t="s">
        <v>32</v>
      </c>
      <c r="F94" s="14" t="s">
        <v>34</v>
      </c>
      <c r="H94" s="1">
        <f t="shared" si="47"/>
        <v>16.241798958340382</v>
      </c>
      <c r="J94">
        <f t="shared" ref="J94:J98" si="49">B94/$U$66</f>
        <v>6.888114160043985</v>
      </c>
      <c r="L94">
        <f t="shared" ref="L94:L98" si="50">J94*10*$S$66</f>
        <v>900965.33213375323</v>
      </c>
      <c r="N94" s="9" t="str">
        <f t="shared" ref="N94:N97" si="51">D94</f>
        <v>metal</v>
      </c>
      <c r="O94">
        <f t="shared" ref="O94:O98" si="52">L94+L101+L108+L115</f>
        <v>4828579.3393781437</v>
      </c>
      <c r="P94" s="2">
        <f t="shared" si="48"/>
        <v>4.1280488678999632</v>
      </c>
      <c r="Q94" t="s">
        <v>2</v>
      </c>
      <c r="S94" t="s">
        <v>35</v>
      </c>
      <c r="T94" s="9" t="s">
        <v>63</v>
      </c>
      <c r="U94" t="s">
        <v>34</v>
      </c>
      <c r="V94">
        <v>219</v>
      </c>
      <c r="W94" t="s">
        <v>32</v>
      </c>
      <c r="Y94" s="183"/>
      <c r="Z94" s="79" t="s">
        <v>75</v>
      </c>
      <c r="AA94" s="184">
        <v>0</v>
      </c>
    </row>
    <row r="95" spans="2:32" ht="14.25" x14ac:dyDescent="0.2">
      <c r="B95" s="275">
        <v>426</v>
      </c>
      <c r="C95" s="96" t="s">
        <v>35</v>
      </c>
      <c r="D95" s="14" t="s">
        <v>77</v>
      </c>
      <c r="E95" s="14" t="s">
        <v>32</v>
      </c>
      <c r="F95" s="14" t="s">
        <v>34</v>
      </c>
      <c r="H95" s="1">
        <f t="shared" si="47"/>
        <v>6.6084529962651724</v>
      </c>
      <c r="J95">
        <f t="shared" si="49"/>
        <v>2.8026315789473686</v>
      </c>
      <c r="L95">
        <f t="shared" si="50"/>
        <v>366584.21052631579</v>
      </c>
      <c r="N95" s="9" t="str">
        <f t="shared" si="51"/>
        <v>paper/cardboard</v>
      </c>
      <c r="O95">
        <f t="shared" si="52"/>
        <v>8743546.4114379864</v>
      </c>
      <c r="P95" s="2">
        <f t="shared" si="48"/>
        <v>7.4750323704561428</v>
      </c>
      <c r="Q95" t="s">
        <v>2</v>
      </c>
      <c r="S95" t="s">
        <v>35</v>
      </c>
      <c r="T95" s="9" t="s">
        <v>76</v>
      </c>
      <c r="U95" t="s">
        <v>34</v>
      </c>
      <c r="V95">
        <v>1046</v>
      </c>
      <c r="W95" t="s">
        <v>32</v>
      </c>
      <c r="Y95" s="183" t="s">
        <v>76</v>
      </c>
      <c r="Z95" s="79" t="s">
        <v>34</v>
      </c>
      <c r="AA95" s="184">
        <f>V95+V97*(V95/SUM(V95:V96))</f>
        <v>1046.9933523266857</v>
      </c>
    </row>
    <row r="96" spans="2:32" ht="14.25" x14ac:dyDescent="0.2">
      <c r="B96" s="275">
        <v>4296.2959719789842</v>
      </c>
      <c r="C96" s="96" t="s">
        <v>35</v>
      </c>
      <c r="D96" s="14" t="s">
        <v>78</v>
      </c>
      <c r="E96" s="14" t="s">
        <v>32</v>
      </c>
      <c r="F96" s="14" t="s">
        <v>34</v>
      </c>
      <c r="H96" s="1">
        <f t="shared" si="47"/>
        <v>66.647582133489465</v>
      </c>
      <c r="J96">
        <f t="shared" si="49"/>
        <v>28.265105078809107</v>
      </c>
      <c r="L96">
        <f t="shared" si="50"/>
        <v>3697075.7443082314</v>
      </c>
      <c r="N96" s="9" t="str">
        <f t="shared" si="51"/>
        <v>plastic / polystyrene</v>
      </c>
      <c r="O96">
        <f t="shared" si="52"/>
        <v>97152930.138292417</v>
      </c>
      <c r="P96" s="2">
        <f t="shared" si="48"/>
        <v>83.057979393622716</v>
      </c>
      <c r="Q96" t="s">
        <v>2</v>
      </c>
      <c r="S96" t="s">
        <v>35</v>
      </c>
      <c r="T96" s="9" t="s">
        <v>76</v>
      </c>
      <c r="U96" t="s">
        <v>75</v>
      </c>
      <c r="V96">
        <v>7</v>
      </c>
      <c r="W96" t="s">
        <v>32</v>
      </c>
      <c r="Y96" s="183"/>
      <c r="Z96" s="79" t="s">
        <v>75</v>
      </c>
      <c r="AA96" s="184">
        <f>V96+V97*(V96/SUM(V95:V96))</f>
        <v>7.0066476733143404</v>
      </c>
    </row>
    <row r="97" spans="2:27" ht="14.25" x14ac:dyDescent="0.2">
      <c r="B97" s="275">
        <v>229</v>
      </c>
      <c r="C97" s="96" t="s">
        <v>35</v>
      </c>
      <c r="D97" s="14" t="s">
        <v>79</v>
      </c>
      <c r="E97" s="14" t="s">
        <v>32</v>
      </c>
      <c r="F97" s="14" t="s">
        <v>34</v>
      </c>
      <c r="H97" s="1">
        <f t="shared" si="47"/>
        <v>3.5524313055040482</v>
      </c>
      <c r="J97">
        <f t="shared" si="49"/>
        <v>1.506578947368421</v>
      </c>
      <c r="L97">
        <f t="shared" si="50"/>
        <v>197060.52631578947</v>
      </c>
      <c r="N97" s="9" t="str">
        <f t="shared" si="51"/>
        <v>processed wood</v>
      </c>
      <c r="O97">
        <f t="shared" si="52"/>
        <v>856258.88100745541</v>
      </c>
      <c r="P97" s="2">
        <f t="shared" si="48"/>
        <v>0.7320328104678786</v>
      </c>
      <c r="Q97" t="s">
        <v>2</v>
      </c>
      <c r="S97" t="s">
        <v>35</v>
      </c>
      <c r="T97" s="9" t="s">
        <v>76</v>
      </c>
      <c r="U97" t="s">
        <v>8</v>
      </c>
      <c r="V97">
        <v>1</v>
      </c>
      <c r="W97" t="s">
        <v>32</v>
      </c>
      <c r="Y97" s="183" t="s">
        <v>77</v>
      </c>
      <c r="Z97" s="79" t="s">
        <v>34</v>
      </c>
      <c r="AA97" s="184">
        <f>V98</f>
        <v>426</v>
      </c>
    </row>
    <row r="98" spans="2:27" ht="15" thickBot="1" x14ac:dyDescent="0.25">
      <c r="B98" s="276">
        <v>229</v>
      </c>
      <c r="C98" s="96" t="s">
        <v>35</v>
      </c>
      <c r="D98" s="14" t="s">
        <v>80</v>
      </c>
      <c r="E98" s="14" t="s">
        <v>32</v>
      </c>
      <c r="F98" s="14" t="s">
        <v>34</v>
      </c>
      <c r="H98" s="1">
        <f t="shared" si="47"/>
        <v>3.5524313055040482</v>
      </c>
      <c r="J98">
        <f t="shared" si="49"/>
        <v>1.506578947368421</v>
      </c>
      <c r="L98">
        <f t="shared" si="50"/>
        <v>197060.52631578947</v>
      </c>
      <c r="N98" s="9" t="s">
        <v>82</v>
      </c>
      <c r="O98">
        <f t="shared" si="52"/>
        <v>432400.13068493025</v>
      </c>
      <c r="P98" s="2">
        <f t="shared" si="48"/>
        <v>0.36966750352363531</v>
      </c>
      <c r="Q98" t="s">
        <v>2</v>
      </c>
      <c r="S98" t="s">
        <v>35</v>
      </c>
      <c r="T98" s="9" t="s">
        <v>77</v>
      </c>
      <c r="U98" t="s">
        <v>34</v>
      </c>
      <c r="V98">
        <v>426</v>
      </c>
      <c r="W98" t="s">
        <v>32</v>
      </c>
      <c r="Y98" s="183"/>
      <c r="Z98" s="79" t="s">
        <v>75</v>
      </c>
      <c r="AA98" s="184">
        <f>V99</f>
        <v>237</v>
      </c>
    </row>
    <row r="99" spans="2:27" ht="15.75" thickTop="1" thickBot="1" x14ac:dyDescent="0.25">
      <c r="B99" s="277">
        <f>SUM(B93:B98)</f>
        <v>6446.2893243056697</v>
      </c>
      <c r="C99" s="14"/>
      <c r="D99" s="14"/>
      <c r="E99" s="14"/>
      <c r="F99" s="14"/>
      <c r="H99" s="16">
        <f>SUM(H93:H98)</f>
        <v>99.999999999999986</v>
      </c>
      <c r="N99" s="9"/>
      <c r="S99" t="s">
        <v>35</v>
      </c>
      <c r="T99" s="9" t="s">
        <v>77</v>
      </c>
      <c r="U99" t="s">
        <v>75</v>
      </c>
      <c r="V99">
        <v>237</v>
      </c>
      <c r="W99" t="s">
        <v>32</v>
      </c>
      <c r="Y99" s="183" t="s">
        <v>78</v>
      </c>
      <c r="Z99" s="79" t="s">
        <v>34</v>
      </c>
      <c r="AA99" s="184">
        <f>V100+V102*(V100/(V100+V101))</f>
        <v>4296.2959719789842</v>
      </c>
    </row>
    <row r="100" spans="2:27" ht="15" thickTop="1" x14ac:dyDescent="0.2">
      <c r="B100" s="274">
        <v>24</v>
      </c>
      <c r="C100" s="14" t="s">
        <v>36</v>
      </c>
      <c r="D100" s="14" t="s">
        <v>63</v>
      </c>
      <c r="E100" s="14" t="s">
        <v>32</v>
      </c>
      <c r="F100" s="14" t="s">
        <v>34</v>
      </c>
      <c r="H100" s="1">
        <f t="shared" ref="H100:H105" si="53">B100/$B$106*100</f>
        <v>0.90739181920646006</v>
      </c>
      <c r="J100">
        <f>B100/$U$69</f>
        <v>3.4285714285714284</v>
      </c>
      <c r="L100">
        <f>J100*10*$S$69</f>
        <v>21634.285714285714</v>
      </c>
      <c r="O100">
        <f>SUM(O93:O99)</f>
        <v>116970014.01619931</v>
      </c>
      <c r="P100" s="2">
        <f>SUM(P93:P99)</f>
        <v>100</v>
      </c>
      <c r="S100" t="s">
        <v>35</v>
      </c>
      <c r="T100" s="9" t="s">
        <v>78</v>
      </c>
      <c r="U100" t="s">
        <v>34</v>
      </c>
      <c r="V100">
        <v>4123</v>
      </c>
      <c r="W100" t="s">
        <v>32</v>
      </c>
      <c r="Y100" s="183"/>
      <c r="Z100" s="79" t="s">
        <v>75</v>
      </c>
      <c r="AA100" s="184">
        <f>V101+V102*(V101/(V101+V100))</f>
        <v>463.70402802101574</v>
      </c>
    </row>
    <row r="101" spans="2:27" ht="14.25" x14ac:dyDescent="0.2">
      <c r="B101" s="275">
        <v>482.94339622641508</v>
      </c>
      <c r="C101" s="14" t="s">
        <v>36</v>
      </c>
      <c r="D101" s="14" t="s">
        <v>76</v>
      </c>
      <c r="E101" s="14" t="s">
        <v>32</v>
      </c>
      <c r="F101" s="14" t="s">
        <v>34</v>
      </c>
      <c r="H101" s="1">
        <f t="shared" si="53"/>
        <v>18.259120286484713</v>
      </c>
      <c r="J101">
        <f t="shared" ref="J101:J105" si="54">B101/$U$69</f>
        <v>68.991913746630729</v>
      </c>
      <c r="L101">
        <f t="shared" ref="L101:L105" si="55">J101*10*$S$69</f>
        <v>435338.97574123996</v>
      </c>
      <c r="S101" t="s">
        <v>35</v>
      </c>
      <c r="T101" s="9" t="s">
        <v>78</v>
      </c>
      <c r="U101" t="s">
        <v>75</v>
      </c>
      <c r="V101">
        <v>445</v>
      </c>
      <c r="W101" t="s">
        <v>32</v>
      </c>
      <c r="Y101" s="183" t="s">
        <v>79</v>
      </c>
      <c r="Z101" s="79" t="s">
        <v>34</v>
      </c>
      <c r="AA101" s="184">
        <f>V103</f>
        <v>229</v>
      </c>
    </row>
    <row r="102" spans="2:27" ht="14.25" x14ac:dyDescent="0.2">
      <c r="B102" s="275">
        <v>44</v>
      </c>
      <c r="C102" s="14" t="s">
        <v>36</v>
      </c>
      <c r="D102" s="14" t="s">
        <v>77</v>
      </c>
      <c r="E102" s="14" t="s">
        <v>32</v>
      </c>
      <c r="F102" s="14" t="s">
        <v>34</v>
      </c>
      <c r="H102" s="1">
        <f t="shared" si="53"/>
        <v>1.6635516685451768</v>
      </c>
      <c r="J102">
        <f t="shared" si="54"/>
        <v>6.2857142857142856</v>
      </c>
      <c r="L102">
        <f t="shared" si="55"/>
        <v>39662.857142857138</v>
      </c>
      <c r="S102" t="s">
        <v>35</v>
      </c>
      <c r="T102" s="9" t="s">
        <v>78</v>
      </c>
      <c r="U102" t="s">
        <v>8</v>
      </c>
      <c r="V102">
        <v>192</v>
      </c>
      <c r="W102" t="s">
        <v>32</v>
      </c>
      <c r="Y102" s="183"/>
      <c r="Z102" s="79" t="s">
        <v>75</v>
      </c>
      <c r="AA102" s="184">
        <f>V104</f>
        <v>490</v>
      </c>
    </row>
    <row r="103" spans="2:27" ht="14.25" x14ac:dyDescent="0.2">
      <c r="B103" s="275">
        <v>2024</v>
      </c>
      <c r="C103" s="14" t="s">
        <v>36</v>
      </c>
      <c r="D103" s="14" t="s">
        <v>78</v>
      </c>
      <c r="E103" s="14" t="s">
        <v>32</v>
      </c>
      <c r="F103" s="14" t="s">
        <v>34</v>
      </c>
      <c r="H103" s="1">
        <f t="shared" si="53"/>
        <v>76.523376753078139</v>
      </c>
      <c r="J103">
        <f t="shared" si="54"/>
        <v>289.14285714285717</v>
      </c>
      <c r="L103">
        <f t="shared" si="55"/>
        <v>1824491.4285714286</v>
      </c>
      <c r="S103" t="s">
        <v>35</v>
      </c>
      <c r="T103" s="9" t="s">
        <v>79</v>
      </c>
      <c r="U103" t="s">
        <v>34</v>
      </c>
      <c r="V103">
        <v>229</v>
      </c>
      <c r="W103" t="s">
        <v>32</v>
      </c>
      <c r="Y103" s="183" t="s">
        <v>82</v>
      </c>
      <c r="Z103" s="79" t="s">
        <v>34</v>
      </c>
      <c r="AA103" s="184">
        <f>V105</f>
        <v>229</v>
      </c>
    </row>
    <row r="104" spans="2:27" ht="14.25" x14ac:dyDescent="0.2">
      <c r="B104" s="275">
        <v>69</v>
      </c>
      <c r="C104" s="14" t="s">
        <v>36</v>
      </c>
      <c r="D104" s="14" t="s">
        <v>79</v>
      </c>
      <c r="E104" s="14" t="s">
        <v>32</v>
      </c>
      <c r="F104" s="14" t="s">
        <v>34</v>
      </c>
      <c r="H104" s="1">
        <f t="shared" si="53"/>
        <v>2.6087514802185732</v>
      </c>
      <c r="J104">
        <f t="shared" si="54"/>
        <v>9.8571428571428577</v>
      </c>
      <c r="L104">
        <f t="shared" si="55"/>
        <v>62198.571428571435</v>
      </c>
      <c r="S104" t="s">
        <v>35</v>
      </c>
      <c r="T104" s="9" t="s">
        <v>79</v>
      </c>
      <c r="U104" t="s">
        <v>75</v>
      </c>
      <c r="V104">
        <v>490</v>
      </c>
      <c r="W104" t="s">
        <v>32</v>
      </c>
      <c r="Y104" s="185"/>
      <c r="Z104" s="181" t="s">
        <v>75</v>
      </c>
      <c r="AA104" s="186">
        <f>V93</f>
        <v>2</v>
      </c>
    </row>
    <row r="105" spans="2:27" ht="15" thickBot="1" x14ac:dyDescent="0.25">
      <c r="B105" s="276">
        <v>1</v>
      </c>
      <c r="C105" s="14" t="s">
        <v>36</v>
      </c>
      <c r="D105" s="14" t="s">
        <v>80</v>
      </c>
      <c r="E105" s="14" t="s">
        <v>32</v>
      </c>
      <c r="F105" s="14" t="s">
        <v>34</v>
      </c>
      <c r="H105" s="1">
        <f t="shared" si="53"/>
        <v>3.7807992466935843E-2</v>
      </c>
      <c r="J105">
        <f t="shared" si="54"/>
        <v>0.14285714285714285</v>
      </c>
      <c r="L105">
        <f t="shared" si="55"/>
        <v>901.42857142857133</v>
      </c>
      <c r="S105" t="s">
        <v>35</v>
      </c>
      <c r="T105" s="9" t="s">
        <v>80</v>
      </c>
      <c r="U105" t="s">
        <v>34</v>
      </c>
      <c r="V105">
        <v>229</v>
      </c>
      <c r="W105" t="s">
        <v>32</v>
      </c>
    </row>
    <row r="106" spans="2:27" ht="15.75" thickTop="1" thickBot="1" x14ac:dyDescent="0.25">
      <c r="B106" s="278">
        <f>SUM(B100:B105)</f>
        <v>2644.9433962264152</v>
      </c>
      <c r="C106" s="14"/>
      <c r="D106" s="14"/>
      <c r="E106" s="14"/>
      <c r="F106" s="14"/>
      <c r="H106" s="16">
        <f>SUM(H100:H105)</f>
        <v>100</v>
      </c>
      <c r="T106" s="9"/>
    </row>
    <row r="107" spans="2:27" ht="15" thickTop="1" x14ac:dyDescent="0.2">
      <c r="B107" s="274">
        <v>923</v>
      </c>
      <c r="C107" s="14" t="s">
        <v>37</v>
      </c>
      <c r="D107" s="14" t="s">
        <v>63</v>
      </c>
      <c r="E107" s="14" t="s">
        <v>32</v>
      </c>
      <c r="F107" s="14" t="s">
        <v>34</v>
      </c>
      <c r="H107" s="1">
        <f t="shared" ref="H107:H112" si="56">B107/$B$113*100</f>
        <v>5.3898006523170325</v>
      </c>
      <c r="J107">
        <f>B107/$U$67</f>
        <v>27.969696969696969</v>
      </c>
      <c r="L107">
        <f>J107*10*$S$67</f>
        <v>4521021.8181818184</v>
      </c>
      <c r="S107" t="s">
        <v>36</v>
      </c>
      <c r="T107" s="9" t="s">
        <v>63</v>
      </c>
      <c r="U107" t="s">
        <v>34</v>
      </c>
      <c r="V107">
        <v>24</v>
      </c>
      <c r="W107" t="s">
        <v>32</v>
      </c>
      <c r="Y107" s="193" t="s">
        <v>63</v>
      </c>
      <c r="Z107" s="194" t="s">
        <v>34</v>
      </c>
      <c r="AA107" s="195">
        <f>V107</f>
        <v>24</v>
      </c>
    </row>
    <row r="108" spans="2:27" ht="14.25" x14ac:dyDescent="0.2">
      <c r="B108" s="275">
        <v>512</v>
      </c>
      <c r="C108" s="14" t="s">
        <v>37</v>
      </c>
      <c r="D108" s="14" t="s">
        <v>76</v>
      </c>
      <c r="E108" s="14" t="s">
        <v>32</v>
      </c>
      <c r="F108" s="14" t="s">
        <v>34</v>
      </c>
      <c r="H108" s="1">
        <f t="shared" si="56"/>
        <v>2.9897919111444424</v>
      </c>
      <c r="J108">
        <f t="shared" ref="J108:J112" si="57">B108/$U$67</f>
        <v>15.515151515151516</v>
      </c>
      <c r="L108">
        <f t="shared" ref="L108:L112" si="58">J108*10*$S$67</f>
        <v>2507869.0909090908</v>
      </c>
      <c r="S108" t="s">
        <v>36</v>
      </c>
      <c r="T108" s="9" t="s">
        <v>76</v>
      </c>
      <c r="U108" t="s">
        <v>34</v>
      </c>
      <c r="V108">
        <v>474</v>
      </c>
      <c r="W108" t="s">
        <v>32</v>
      </c>
      <c r="Y108" s="183"/>
      <c r="Z108" s="79" t="s">
        <v>75</v>
      </c>
      <c r="AA108" s="184">
        <v>0</v>
      </c>
    </row>
    <row r="109" spans="2:27" ht="14.25" x14ac:dyDescent="0.2">
      <c r="B109" s="275">
        <v>1597</v>
      </c>
      <c r="C109" s="14" t="s">
        <v>37</v>
      </c>
      <c r="D109" s="14" t="s">
        <v>77</v>
      </c>
      <c r="E109" s="14" t="s">
        <v>32</v>
      </c>
      <c r="F109" s="14" t="s">
        <v>34</v>
      </c>
      <c r="H109" s="1">
        <f t="shared" si="56"/>
        <v>9.3255814103470218</v>
      </c>
      <c r="J109">
        <f t="shared" si="57"/>
        <v>48.393939393939391</v>
      </c>
      <c r="L109">
        <f t="shared" si="58"/>
        <v>7822396.3636363624</v>
      </c>
      <c r="S109" t="s">
        <v>36</v>
      </c>
      <c r="T109" s="9" t="s">
        <v>76</v>
      </c>
      <c r="U109" t="s">
        <v>75</v>
      </c>
      <c r="V109">
        <v>3</v>
      </c>
      <c r="W109" t="s">
        <v>32</v>
      </c>
      <c r="Y109" s="183" t="s">
        <v>76</v>
      </c>
      <c r="Z109" s="79" t="s">
        <v>34</v>
      </c>
      <c r="AA109" s="184">
        <f>V108+V110*(V108/(V108+V109))</f>
        <v>482.94339622641508</v>
      </c>
    </row>
    <row r="110" spans="2:27" ht="14.25" x14ac:dyDescent="0.2">
      <c r="B110" s="275">
        <v>14022.937628318585</v>
      </c>
      <c r="C110" s="14" t="s">
        <v>37</v>
      </c>
      <c r="D110" s="14" t="s">
        <v>78</v>
      </c>
      <c r="E110" s="14" t="s">
        <v>32</v>
      </c>
      <c r="F110" s="14" t="s">
        <v>34</v>
      </c>
      <c r="H110" s="1">
        <f t="shared" si="56"/>
        <v>81.886065413339722</v>
      </c>
      <c r="J110">
        <f t="shared" si="57"/>
        <v>424.93750388844194</v>
      </c>
      <c r="L110">
        <f t="shared" si="58"/>
        <v>68686898.128527746</v>
      </c>
      <c r="S110" t="s">
        <v>36</v>
      </c>
      <c r="T110" s="9" t="s">
        <v>76</v>
      </c>
      <c r="U110" t="s">
        <v>8</v>
      </c>
      <c r="V110">
        <v>9</v>
      </c>
      <c r="W110" t="s">
        <v>32</v>
      </c>
      <c r="Y110" s="183"/>
      <c r="Z110" s="79" t="s">
        <v>75</v>
      </c>
      <c r="AA110" s="184">
        <f>V109</f>
        <v>3</v>
      </c>
    </row>
    <row r="111" spans="2:27" ht="14.25" x14ac:dyDescent="0.2">
      <c r="B111" s="275">
        <v>38</v>
      </c>
      <c r="C111" s="14" t="s">
        <v>37</v>
      </c>
      <c r="D111" s="14" t="s">
        <v>79</v>
      </c>
      <c r="E111" s="14" t="s">
        <v>32</v>
      </c>
      <c r="F111" s="14" t="s">
        <v>34</v>
      </c>
      <c r="H111" s="1">
        <f t="shared" si="56"/>
        <v>0.2218986184052516</v>
      </c>
      <c r="J111">
        <f t="shared" si="57"/>
        <v>1.1515151515151516</v>
      </c>
      <c r="L111">
        <f t="shared" si="58"/>
        <v>186130.90909090909</v>
      </c>
      <c r="S111" t="s">
        <v>36</v>
      </c>
      <c r="T111" s="9" t="s">
        <v>77</v>
      </c>
      <c r="U111" t="s">
        <v>34</v>
      </c>
      <c r="V111">
        <v>44</v>
      </c>
      <c r="W111" t="s">
        <v>32</v>
      </c>
      <c r="Y111" s="183" t="s">
        <v>77</v>
      </c>
      <c r="Z111" s="79" t="s">
        <v>34</v>
      </c>
      <c r="AA111" s="184">
        <f>V111</f>
        <v>44</v>
      </c>
    </row>
    <row r="112" spans="2:27" ht="15" thickBot="1" x14ac:dyDescent="0.25">
      <c r="B112" s="276">
        <v>32</v>
      </c>
      <c r="C112" s="14" t="s">
        <v>37</v>
      </c>
      <c r="D112" s="14" t="s">
        <v>80</v>
      </c>
      <c r="E112" s="14" t="s">
        <v>32</v>
      </c>
      <c r="F112" s="14" t="s">
        <v>34</v>
      </c>
      <c r="H112" s="1">
        <f t="shared" si="56"/>
        <v>0.18686199444652765</v>
      </c>
      <c r="J112">
        <f t="shared" si="57"/>
        <v>0.96969696969696972</v>
      </c>
      <c r="L112">
        <f t="shared" si="58"/>
        <v>156741.81818181818</v>
      </c>
      <c r="S112" t="s">
        <v>36</v>
      </c>
      <c r="T112" s="9" t="s">
        <v>77</v>
      </c>
      <c r="U112" t="s">
        <v>75</v>
      </c>
      <c r="V112">
        <v>12</v>
      </c>
      <c r="W112" t="s">
        <v>32</v>
      </c>
      <c r="Y112" s="183"/>
      <c r="Z112" s="79" t="s">
        <v>75</v>
      </c>
      <c r="AA112" s="184">
        <f>V112</f>
        <v>12</v>
      </c>
    </row>
    <row r="113" spans="2:27" ht="15.75" thickTop="1" thickBot="1" x14ac:dyDescent="0.25">
      <c r="B113" s="278">
        <f>SUM(B107:B112)</f>
        <v>17124.937628318585</v>
      </c>
      <c r="C113" s="14"/>
      <c r="D113" s="14"/>
      <c r="E113" s="14"/>
      <c r="F113" s="14"/>
      <c r="H113" s="16">
        <f>SUM(H107:H112)</f>
        <v>100</v>
      </c>
      <c r="S113" t="s">
        <v>36</v>
      </c>
      <c r="T113" s="9" t="s">
        <v>78</v>
      </c>
      <c r="U113" t="s">
        <v>34</v>
      </c>
      <c r="V113">
        <v>2024</v>
      </c>
      <c r="W113" t="s">
        <v>32</v>
      </c>
      <c r="Y113" s="183" t="s">
        <v>78</v>
      </c>
      <c r="Z113" s="79" t="s">
        <v>34</v>
      </c>
      <c r="AA113" s="184">
        <f>V113</f>
        <v>2024</v>
      </c>
    </row>
    <row r="114" spans="2:27" ht="15" thickTop="1" x14ac:dyDescent="0.2">
      <c r="B114" s="274">
        <v>171</v>
      </c>
      <c r="C114" s="14" t="s">
        <v>31</v>
      </c>
      <c r="D114" s="14" t="s">
        <v>63</v>
      </c>
      <c r="E114" s="14" t="s">
        <v>32</v>
      </c>
      <c r="F114" s="14" t="s">
        <v>34</v>
      </c>
      <c r="H114" s="1">
        <f t="shared" ref="H114:H119" si="59">B114/$B$120*100</f>
        <v>0.89511083776975808</v>
      </c>
      <c r="J114">
        <f>B114/$U$68</f>
        <v>1.1324503311258278</v>
      </c>
      <c r="L114">
        <f>J114*10*$S$68</f>
        <v>225187.74834437086</v>
      </c>
      <c r="S114" t="s">
        <v>36</v>
      </c>
      <c r="T114" s="9" t="s">
        <v>78</v>
      </c>
      <c r="U114" t="s">
        <v>8</v>
      </c>
      <c r="V114">
        <v>16</v>
      </c>
      <c r="W114" t="s">
        <v>32</v>
      </c>
      <c r="Y114" s="183"/>
      <c r="Z114" s="79" t="s">
        <v>75</v>
      </c>
      <c r="AA114" s="184">
        <f>V114</f>
        <v>16</v>
      </c>
    </row>
    <row r="115" spans="2:27" ht="14.25" x14ac:dyDescent="0.2">
      <c r="B115" s="275">
        <v>747.52475247524751</v>
      </c>
      <c r="C115" s="14" t="s">
        <v>31</v>
      </c>
      <c r="D115" s="14" t="s">
        <v>76</v>
      </c>
      <c r="E115" s="14" t="s">
        <v>32</v>
      </c>
      <c r="F115" s="14" t="s">
        <v>34</v>
      </c>
      <c r="H115" s="1">
        <f t="shared" si="59"/>
        <v>3.912967879776315</v>
      </c>
      <c r="J115">
        <f t="shared" ref="J115:J119" si="60">B115/$U$68</f>
        <v>4.9504950495049505</v>
      </c>
      <c r="L115">
        <f t="shared" ref="L115:L119" si="61">J115*10*$S$68</f>
        <v>984405.94059405942</v>
      </c>
      <c r="S115" t="s">
        <v>36</v>
      </c>
      <c r="T115" s="9" t="s">
        <v>79</v>
      </c>
      <c r="U115" t="s">
        <v>34</v>
      </c>
      <c r="V115">
        <v>69</v>
      </c>
      <c r="W115" t="s">
        <v>32</v>
      </c>
      <c r="Y115" s="183" t="s">
        <v>79</v>
      </c>
      <c r="Z115" s="79" t="s">
        <v>34</v>
      </c>
      <c r="AA115" s="184">
        <f>V115</f>
        <v>69</v>
      </c>
    </row>
    <row r="116" spans="2:27" ht="14.25" x14ac:dyDescent="0.2">
      <c r="B116" s="275">
        <v>391</v>
      </c>
      <c r="C116" s="14" t="s">
        <v>31</v>
      </c>
      <c r="D116" s="14" t="s">
        <v>77</v>
      </c>
      <c r="E116" s="14" t="s">
        <v>32</v>
      </c>
      <c r="F116" s="14" t="s">
        <v>34</v>
      </c>
      <c r="H116" s="1">
        <f t="shared" si="59"/>
        <v>2.0467154243741255</v>
      </c>
      <c r="J116">
        <f t="shared" si="60"/>
        <v>2.5894039735099339</v>
      </c>
      <c r="L116">
        <f t="shared" si="61"/>
        <v>514902.98013245041</v>
      </c>
      <c r="S116" t="s">
        <v>36</v>
      </c>
      <c r="T116" s="9" t="s">
        <v>80</v>
      </c>
      <c r="U116" t="s">
        <v>34</v>
      </c>
      <c r="V116">
        <v>1</v>
      </c>
      <c r="W116" t="s">
        <v>32</v>
      </c>
      <c r="Y116" s="183"/>
      <c r="Z116" s="79" t="s">
        <v>75</v>
      </c>
      <c r="AA116" s="184">
        <v>0</v>
      </c>
    </row>
    <row r="117" spans="2:27" ht="14.25" x14ac:dyDescent="0.2">
      <c r="B117" s="275">
        <v>17423.254666178702</v>
      </c>
      <c r="C117" s="14" t="s">
        <v>31</v>
      </c>
      <c r="D117" s="14" t="s">
        <v>78</v>
      </c>
      <c r="E117" s="14" t="s">
        <v>32</v>
      </c>
      <c r="F117" s="14" t="s">
        <v>34</v>
      </c>
      <c r="H117" s="1">
        <f t="shared" si="59"/>
        <v>91.203181759760611</v>
      </c>
      <c r="J117">
        <f t="shared" si="60"/>
        <v>115.38579249124969</v>
      </c>
      <c r="L117">
        <f t="shared" si="61"/>
        <v>22944464.836885002</v>
      </c>
      <c r="T117" s="9"/>
      <c r="Y117" s="183" t="s">
        <v>82</v>
      </c>
      <c r="Z117" s="79" t="s">
        <v>34</v>
      </c>
      <c r="AA117" s="184">
        <f>V116</f>
        <v>1</v>
      </c>
    </row>
    <row r="118" spans="2:27" ht="14.25" x14ac:dyDescent="0.2">
      <c r="B118" s="275">
        <v>312</v>
      </c>
      <c r="C118" s="14" t="s">
        <v>31</v>
      </c>
      <c r="D118" s="14" t="s">
        <v>79</v>
      </c>
      <c r="E118" s="14" t="s">
        <v>32</v>
      </c>
      <c r="F118" s="14" t="s">
        <v>34</v>
      </c>
      <c r="H118" s="1">
        <f t="shared" si="59"/>
        <v>1.6331846864571027</v>
      </c>
      <c r="J118">
        <f t="shared" si="60"/>
        <v>2.0662251655629138</v>
      </c>
      <c r="L118">
        <f t="shared" si="61"/>
        <v>410868.87417218543</v>
      </c>
      <c r="T118" s="9"/>
      <c r="Y118" s="185"/>
      <c r="Z118" s="181" t="s">
        <v>75</v>
      </c>
      <c r="AA118" s="186">
        <v>0</v>
      </c>
    </row>
    <row r="119" spans="2:27" ht="15" thickBot="1" x14ac:dyDescent="0.25">
      <c r="B119" s="276">
        <v>59</v>
      </c>
      <c r="C119" s="14" t="s">
        <v>31</v>
      </c>
      <c r="D119" s="14" t="s">
        <v>80</v>
      </c>
      <c r="E119" s="14" t="s">
        <v>32</v>
      </c>
      <c r="F119" s="14" t="s">
        <v>34</v>
      </c>
      <c r="H119" s="1">
        <f t="shared" si="59"/>
        <v>0.3088394118620803</v>
      </c>
      <c r="J119">
        <f t="shared" si="60"/>
        <v>0.39072847682119205</v>
      </c>
      <c r="L119">
        <f t="shared" si="61"/>
        <v>77696.357615894041</v>
      </c>
      <c r="N119" t="s">
        <v>188</v>
      </c>
      <c r="T119" s="9"/>
    </row>
    <row r="120" spans="2:27" ht="15.75" thickTop="1" thickBot="1" x14ac:dyDescent="0.25">
      <c r="B120" s="279">
        <f>SUM(B114:B119)</f>
        <v>19103.77941865395</v>
      </c>
      <c r="C120" s="14"/>
      <c r="D120" s="14"/>
      <c r="E120" s="14"/>
      <c r="F120" s="14"/>
      <c r="H120" s="16">
        <f>SUM(H114:H119)</f>
        <v>99.999999999999986</v>
      </c>
      <c r="S120" t="s">
        <v>37</v>
      </c>
      <c r="T120" s="9" t="s">
        <v>63</v>
      </c>
      <c r="U120" t="s">
        <v>34</v>
      </c>
      <c r="V120">
        <v>923</v>
      </c>
      <c r="W120" t="s">
        <v>32</v>
      </c>
      <c r="Y120" s="193" t="s">
        <v>63</v>
      </c>
      <c r="Z120" s="194" t="s">
        <v>34</v>
      </c>
      <c r="AA120" s="195">
        <f>V120</f>
        <v>923</v>
      </c>
    </row>
    <row r="121" spans="2:27" ht="15" thickTop="1" x14ac:dyDescent="0.2">
      <c r="B121" s="280">
        <v>2</v>
      </c>
      <c r="C121" s="96" t="s">
        <v>35</v>
      </c>
      <c r="D121" s="14" t="s">
        <v>74</v>
      </c>
      <c r="E121" s="14" t="s">
        <v>32</v>
      </c>
      <c r="F121" s="14" t="s">
        <v>75</v>
      </c>
      <c r="H121" s="1">
        <f>B121/$B$126*100</f>
        <v>0.16670686028883624</v>
      </c>
      <c r="J121">
        <f>B121/$U$66</f>
        <v>1.3157894736842105E-2</v>
      </c>
      <c r="L121">
        <f>J121*10*$S$66</f>
        <v>1721.0526315789473</v>
      </c>
      <c r="N121" s="9" t="str">
        <f t="shared" ref="N121:N126" si="62">N93</f>
        <v>glass</v>
      </c>
      <c r="O121">
        <f>0</f>
        <v>0</v>
      </c>
      <c r="P121" s="2">
        <f t="shared" ref="P121:P126" si="63">O121/$O$128*100</f>
        <v>0</v>
      </c>
      <c r="Q121" t="s">
        <v>2</v>
      </c>
      <c r="S121" t="s">
        <v>37</v>
      </c>
      <c r="T121" s="9" t="s">
        <v>76</v>
      </c>
      <c r="U121" t="s">
        <v>34</v>
      </c>
      <c r="V121">
        <v>512</v>
      </c>
      <c r="W121" t="s">
        <v>32</v>
      </c>
      <c r="Y121" s="183"/>
      <c r="Z121" s="79" t="s">
        <v>75</v>
      </c>
      <c r="AA121" s="184">
        <v>0</v>
      </c>
    </row>
    <row r="122" spans="2:27" ht="14.25" x14ac:dyDescent="0.2">
      <c r="B122" s="281">
        <v>7.0066476733143404</v>
      </c>
      <c r="C122" s="96" t="s">
        <v>35</v>
      </c>
      <c r="D122" s="14" t="s">
        <v>76</v>
      </c>
      <c r="E122" s="14" t="s">
        <v>32</v>
      </c>
      <c r="F122" s="14" t="s">
        <v>75</v>
      </c>
      <c r="H122" s="1">
        <f>B122/$B$126*100</f>
        <v>0.5840281173841565</v>
      </c>
      <c r="J122">
        <f t="shared" ref="J122:J125" si="64">B122/$U$66</f>
        <v>4.609636627180487E-2</v>
      </c>
      <c r="L122">
        <f t="shared" ref="L122:L125" si="65">J122*10*$S$66</f>
        <v>6029.4047083520763</v>
      </c>
      <c r="N122" s="9" t="str">
        <f t="shared" si="62"/>
        <v>metal</v>
      </c>
      <c r="O122">
        <f>L122+L127+L137+L131</f>
        <v>38170.47710130566</v>
      </c>
      <c r="P122" s="2">
        <f t="shared" si="63"/>
        <v>0.68158711500309332</v>
      </c>
      <c r="Q122" t="s">
        <v>2</v>
      </c>
      <c r="S122" t="s">
        <v>37</v>
      </c>
      <c r="T122" s="9" t="s">
        <v>76</v>
      </c>
      <c r="U122" t="s">
        <v>8</v>
      </c>
      <c r="V122">
        <v>4</v>
      </c>
      <c r="W122" t="s">
        <v>32</v>
      </c>
      <c r="Y122" s="183" t="s">
        <v>76</v>
      </c>
      <c r="Z122" s="79" t="s">
        <v>34</v>
      </c>
      <c r="AA122" s="184">
        <f>V121</f>
        <v>512</v>
      </c>
    </row>
    <row r="123" spans="2:27" ht="14.25" x14ac:dyDescent="0.2">
      <c r="B123" s="281">
        <v>237</v>
      </c>
      <c r="C123" s="96" t="s">
        <v>35</v>
      </c>
      <c r="D123" s="14" t="s">
        <v>77</v>
      </c>
      <c r="E123" s="14" t="s">
        <v>32</v>
      </c>
      <c r="F123" s="14" t="s">
        <v>75</v>
      </c>
      <c r="H123" s="1">
        <f>B123/$B$126*100</f>
        <v>19.754762944227092</v>
      </c>
      <c r="J123">
        <f t="shared" si="64"/>
        <v>1.5592105263157894</v>
      </c>
      <c r="L123">
        <f t="shared" si="65"/>
        <v>203944.73684210525</v>
      </c>
      <c r="N123" s="9" t="str">
        <f t="shared" si="62"/>
        <v>paper/cardboard</v>
      </c>
      <c r="O123">
        <f>L123+L128+L132+L138</f>
        <v>481222.9212404883</v>
      </c>
      <c r="P123" s="2">
        <f t="shared" si="63"/>
        <v>8.5929065463644907</v>
      </c>
      <c r="Q123" t="s">
        <v>2</v>
      </c>
      <c r="S123" t="s">
        <v>37</v>
      </c>
      <c r="T123" s="9" t="s">
        <v>77</v>
      </c>
      <c r="U123" t="s">
        <v>34</v>
      </c>
      <c r="V123">
        <v>1597</v>
      </c>
      <c r="W123" t="s">
        <v>32</v>
      </c>
      <c r="Y123" s="183"/>
      <c r="Z123" s="79" t="s">
        <v>75</v>
      </c>
      <c r="AA123" s="184">
        <f>V122</f>
        <v>4</v>
      </c>
    </row>
    <row r="124" spans="2:27" ht="14.25" x14ac:dyDescent="0.2">
      <c r="B124" s="281">
        <v>463.70402802101574</v>
      </c>
      <c r="C124" s="96" t="s">
        <v>35</v>
      </c>
      <c r="D124" s="14" t="s">
        <v>78</v>
      </c>
      <c r="E124" s="14" t="s">
        <v>32</v>
      </c>
      <c r="F124" s="14" t="s">
        <v>75</v>
      </c>
      <c r="H124" s="1">
        <f>B124/$B$126*100</f>
        <v>38.651321307335031</v>
      </c>
      <c r="J124">
        <f t="shared" si="64"/>
        <v>3.0506843948751037</v>
      </c>
      <c r="L124">
        <f t="shared" si="65"/>
        <v>399029.51884966355</v>
      </c>
      <c r="N124" s="9" t="str">
        <f t="shared" si="62"/>
        <v>plastic / polystyrene</v>
      </c>
      <c r="O124">
        <f>L124+L133+L139+L129</f>
        <v>4271100.2233431637</v>
      </c>
      <c r="P124" s="2">
        <f t="shared" si="63"/>
        <v>76.266452509653249</v>
      </c>
      <c r="Q124" t="s">
        <v>2</v>
      </c>
      <c r="S124" t="s">
        <v>37</v>
      </c>
      <c r="T124" s="9" t="s">
        <v>77</v>
      </c>
      <c r="U124" t="s">
        <v>75</v>
      </c>
      <c r="V124">
        <v>38</v>
      </c>
      <c r="W124" t="s">
        <v>32</v>
      </c>
      <c r="Y124" s="183" t="s">
        <v>77</v>
      </c>
      <c r="Z124" s="79" t="s">
        <v>34</v>
      </c>
      <c r="AA124" s="184">
        <f>V123</f>
        <v>1597</v>
      </c>
    </row>
    <row r="125" spans="2:27" ht="15" thickBot="1" x14ac:dyDescent="0.25">
      <c r="B125" s="282">
        <v>490</v>
      </c>
      <c r="C125" s="96" t="s">
        <v>35</v>
      </c>
      <c r="D125" s="14" t="s">
        <v>79</v>
      </c>
      <c r="E125" s="14" t="s">
        <v>32</v>
      </c>
      <c r="F125" s="14" t="s">
        <v>75</v>
      </c>
      <c r="H125" s="1">
        <f>B125/$B$126*100</f>
        <v>40.843180770764874</v>
      </c>
      <c r="J125">
        <f t="shared" si="64"/>
        <v>3.2236842105263159</v>
      </c>
      <c r="L125">
        <f t="shared" si="65"/>
        <v>421657.89473684208</v>
      </c>
      <c r="N125" s="9" t="str">
        <f t="shared" si="62"/>
        <v>processed wood</v>
      </c>
      <c r="O125">
        <f>L125+L134+L140</f>
        <v>764562.59070312744</v>
      </c>
      <c r="P125" s="2">
        <f t="shared" si="63"/>
        <v>13.652331592648871</v>
      </c>
      <c r="Q125" t="s">
        <v>2</v>
      </c>
      <c r="S125" t="s">
        <v>37</v>
      </c>
      <c r="T125" s="9" t="s">
        <v>78</v>
      </c>
      <c r="U125" t="s">
        <v>34</v>
      </c>
      <c r="V125">
        <v>13942</v>
      </c>
      <c r="W125" t="s">
        <v>32</v>
      </c>
      <c r="Y125" s="183"/>
      <c r="Z125" s="79" t="s">
        <v>75</v>
      </c>
      <c r="AA125" s="184">
        <f>V124</f>
        <v>38</v>
      </c>
    </row>
    <row r="126" spans="2:27" ht="15.75" thickTop="1" thickBot="1" x14ac:dyDescent="0.25">
      <c r="B126" s="283">
        <f>SUM(B121:B125)</f>
        <v>1199.7106756943301</v>
      </c>
      <c r="C126" s="96"/>
      <c r="D126" s="14"/>
      <c r="E126" s="14"/>
      <c r="F126" s="14"/>
      <c r="H126" s="16">
        <f>SUM(H121:H125)</f>
        <v>100</v>
      </c>
      <c r="N126" s="9" t="str">
        <f t="shared" si="62"/>
        <v>other</v>
      </c>
      <c r="O126">
        <f>L121+L136</f>
        <v>45178.337399790871</v>
      </c>
      <c r="P126" s="2">
        <f t="shared" si="63"/>
        <v>0.80672223633030016</v>
      </c>
      <c r="Q126" t="s">
        <v>2</v>
      </c>
      <c r="S126" t="s">
        <v>37</v>
      </c>
      <c r="T126" s="9" t="s">
        <v>78</v>
      </c>
      <c r="U126" t="s">
        <v>75</v>
      </c>
      <c r="V126">
        <v>183</v>
      </c>
      <c r="W126" t="s">
        <v>32</v>
      </c>
      <c r="Y126" s="183" t="s">
        <v>78</v>
      </c>
      <c r="Z126" s="79" t="s">
        <v>34</v>
      </c>
      <c r="AA126" s="184">
        <f>V125+V127*(V125/(V125+V126))</f>
        <v>14022.937628318585</v>
      </c>
    </row>
    <row r="127" spans="2:27" ht="15" thickTop="1" x14ac:dyDescent="0.2">
      <c r="B127" s="115">
        <v>3</v>
      </c>
      <c r="C127" s="96" t="s">
        <v>36</v>
      </c>
      <c r="D127" s="14" t="s">
        <v>76</v>
      </c>
      <c r="E127" s="14" t="s">
        <v>32</v>
      </c>
      <c r="F127" s="14" t="s">
        <v>75</v>
      </c>
      <c r="H127" s="1">
        <f>B127/$B$130*100</f>
        <v>9.67741935483871</v>
      </c>
      <c r="J127">
        <f>B127/$U$69</f>
        <v>0.42857142857142855</v>
      </c>
      <c r="L127">
        <f>J127*10*$S$69</f>
        <v>2704.2857142857142</v>
      </c>
      <c r="S127" t="s">
        <v>37</v>
      </c>
      <c r="T127" s="9" t="s">
        <v>78</v>
      </c>
      <c r="U127" t="s">
        <v>8</v>
      </c>
      <c r="V127">
        <v>82</v>
      </c>
      <c r="W127" t="s">
        <v>32</v>
      </c>
      <c r="Y127" s="183"/>
      <c r="Z127" s="79" t="s">
        <v>75</v>
      </c>
      <c r="AA127" s="184">
        <f>V126+V127*(V126/(V126+V125))</f>
        <v>184.06237168141593</v>
      </c>
    </row>
    <row r="128" spans="2:27" ht="14.25" x14ac:dyDescent="0.2">
      <c r="B128" s="116">
        <v>12</v>
      </c>
      <c r="C128" s="96" t="s">
        <v>36</v>
      </c>
      <c r="D128" s="14" t="s">
        <v>77</v>
      </c>
      <c r="E128" s="14" t="s">
        <v>32</v>
      </c>
      <c r="F128" s="14" t="s">
        <v>75</v>
      </c>
      <c r="H128" s="1">
        <f>B128/$B$130*100</f>
        <v>38.70967741935484</v>
      </c>
      <c r="J128">
        <f>B128/$U$69</f>
        <v>1.7142857142857142</v>
      </c>
      <c r="L128">
        <f>J128*10*$S$69</f>
        <v>10817.142857142857</v>
      </c>
      <c r="O128">
        <f>SUM(O121:O127)</f>
        <v>5600234.5497878762</v>
      </c>
      <c r="P128">
        <f>SUM(P121:P127)</f>
        <v>100</v>
      </c>
      <c r="S128" t="s">
        <v>37</v>
      </c>
      <c r="T128" s="9" t="s">
        <v>79</v>
      </c>
      <c r="U128" t="s">
        <v>34</v>
      </c>
      <c r="V128">
        <v>38</v>
      </c>
      <c r="W128" t="s">
        <v>32</v>
      </c>
      <c r="Y128" s="183" t="s">
        <v>79</v>
      </c>
      <c r="Z128" s="79" t="s">
        <v>34</v>
      </c>
      <c r="AA128" s="184">
        <f>V128</f>
        <v>38</v>
      </c>
    </row>
    <row r="129" spans="2:27" ht="15" thickBot="1" x14ac:dyDescent="0.25">
      <c r="B129" s="117">
        <v>16</v>
      </c>
      <c r="C129" s="96" t="s">
        <v>36</v>
      </c>
      <c r="D129" s="14" t="s">
        <v>78</v>
      </c>
      <c r="E129" s="14" t="s">
        <v>32</v>
      </c>
      <c r="F129" s="14" t="s">
        <v>75</v>
      </c>
      <c r="H129" s="1">
        <f>B129/$B$130*100</f>
        <v>51.612903225806448</v>
      </c>
      <c r="J129">
        <f>B129/$U$69</f>
        <v>2.2857142857142856</v>
      </c>
      <c r="L129">
        <f>J129*10*$S$69</f>
        <v>14422.857142857141</v>
      </c>
      <c r="S129" t="s">
        <v>37</v>
      </c>
      <c r="T129" s="9" t="s">
        <v>79</v>
      </c>
      <c r="U129" t="s">
        <v>75</v>
      </c>
      <c r="V129">
        <v>20</v>
      </c>
      <c r="W129" t="s">
        <v>32</v>
      </c>
      <c r="Y129" s="183"/>
      <c r="Z129" s="79" t="s">
        <v>75</v>
      </c>
      <c r="AA129" s="184">
        <f>V129</f>
        <v>20</v>
      </c>
    </row>
    <row r="130" spans="2:27" ht="15.75" thickTop="1" thickBot="1" x14ac:dyDescent="0.25">
      <c r="B130" s="118">
        <f>SUM(B127:B129)</f>
        <v>31</v>
      </c>
      <c r="C130" s="14"/>
      <c r="D130" s="14"/>
      <c r="E130" s="14"/>
      <c r="F130" s="14"/>
      <c r="H130" s="16">
        <f>SUM(H127:H129)</f>
        <v>100</v>
      </c>
      <c r="S130" t="s">
        <v>37</v>
      </c>
      <c r="T130" s="9" t="s">
        <v>80</v>
      </c>
      <c r="U130" t="s">
        <v>34</v>
      </c>
      <c r="V130">
        <v>32</v>
      </c>
      <c r="W130" t="s">
        <v>32</v>
      </c>
      <c r="Y130" s="183" t="s">
        <v>82</v>
      </c>
      <c r="Z130" s="79" t="s">
        <v>34</v>
      </c>
      <c r="AA130" s="184">
        <f>V130</f>
        <v>32</v>
      </c>
    </row>
    <row r="131" spans="2:27" ht="15" thickTop="1" x14ac:dyDescent="0.2">
      <c r="B131" s="280">
        <v>4</v>
      </c>
      <c r="C131" s="96" t="s">
        <v>37</v>
      </c>
      <c r="D131" s="14" t="s">
        <v>76</v>
      </c>
      <c r="E131" s="14" t="s">
        <v>32</v>
      </c>
      <c r="F131" s="14" t="s">
        <v>75</v>
      </c>
      <c r="H131" s="1">
        <f>B131/$B$135*100</f>
        <v>1.6256040989391569</v>
      </c>
      <c r="J131">
        <f>B131/$U$67</f>
        <v>0.12121212121212122</v>
      </c>
      <c r="L131">
        <f>J131*10*$S$67</f>
        <v>19592.727272727272</v>
      </c>
      <c r="T131" s="9"/>
      <c r="Y131" s="185"/>
      <c r="Z131" s="181" t="s">
        <v>75</v>
      </c>
      <c r="AA131" s="186">
        <v>0</v>
      </c>
    </row>
    <row r="132" spans="2:27" ht="14.25" x14ac:dyDescent="0.2">
      <c r="B132" s="281">
        <v>38</v>
      </c>
      <c r="C132" s="96" t="s">
        <v>37</v>
      </c>
      <c r="D132" s="14" t="s">
        <v>77</v>
      </c>
      <c r="E132" s="14" t="s">
        <v>32</v>
      </c>
      <c r="F132" s="14" t="s">
        <v>75</v>
      </c>
      <c r="H132" s="1">
        <f>B132/$B$135*100</f>
        <v>15.443238939921988</v>
      </c>
      <c r="J132">
        <f>B132/$U$67</f>
        <v>1.1515151515151516</v>
      </c>
      <c r="L132">
        <f>J132*10*$S$67</f>
        <v>186130.90909090909</v>
      </c>
      <c r="T132" s="9"/>
    </row>
    <row r="133" spans="2:27" ht="14.25" x14ac:dyDescent="0.2">
      <c r="B133" s="281">
        <v>184.06237168141593</v>
      </c>
      <c r="C133" s="96" t="s">
        <v>37</v>
      </c>
      <c r="D133" s="14" t="s">
        <v>78</v>
      </c>
      <c r="E133" s="14" t="s">
        <v>32</v>
      </c>
      <c r="F133" s="14" t="s">
        <v>75</v>
      </c>
      <c r="H133" s="1">
        <f>B133/$B$135*100</f>
        <v>74.803136466443078</v>
      </c>
      <c r="J133">
        <f t="shared" ref="J133:J134" si="66">B133/$U$67</f>
        <v>5.5776476267095738</v>
      </c>
      <c r="L133">
        <f t="shared" ref="L133:L134" si="67">J133*10*$S$67</f>
        <v>901570.96238133556</v>
      </c>
      <c r="S133" t="s">
        <v>31</v>
      </c>
      <c r="T133" s="9" t="s">
        <v>74</v>
      </c>
      <c r="U133" t="s">
        <v>75</v>
      </c>
      <c r="V133">
        <v>33</v>
      </c>
      <c r="W133" t="s">
        <v>32</v>
      </c>
      <c r="Y133" s="193" t="s">
        <v>63</v>
      </c>
      <c r="Z133" s="194" t="s">
        <v>34</v>
      </c>
      <c r="AA133" s="195">
        <f>V134</f>
        <v>171</v>
      </c>
    </row>
    <row r="134" spans="2:27" ht="15" thickBot="1" x14ac:dyDescent="0.25">
      <c r="B134" s="282">
        <v>20</v>
      </c>
      <c r="C134" s="96" t="s">
        <v>37</v>
      </c>
      <c r="D134" s="14" t="s">
        <v>79</v>
      </c>
      <c r="E134" s="14" t="s">
        <v>32</v>
      </c>
      <c r="F134" s="14" t="s">
        <v>75</v>
      </c>
      <c r="H134" s="1">
        <f>B134/$B$135*100</f>
        <v>8.1280204946957841</v>
      </c>
      <c r="J134">
        <f t="shared" si="66"/>
        <v>0.60606060606060608</v>
      </c>
      <c r="L134">
        <f t="shared" si="67"/>
        <v>97963.636363636368</v>
      </c>
      <c r="S134" t="s">
        <v>31</v>
      </c>
      <c r="T134" s="9" t="s">
        <v>63</v>
      </c>
      <c r="U134" t="s">
        <v>34</v>
      </c>
      <c r="V134">
        <v>171</v>
      </c>
      <c r="W134" t="s">
        <v>32</v>
      </c>
      <c r="Y134" s="183"/>
      <c r="Z134" s="79" t="s">
        <v>75</v>
      </c>
      <c r="AA134" s="184">
        <v>0</v>
      </c>
    </row>
    <row r="135" spans="2:27" ht="15.75" thickTop="1" thickBot="1" x14ac:dyDescent="0.25">
      <c r="B135" s="284">
        <f>SUM(B131:B134)</f>
        <v>246.06237168141593</v>
      </c>
      <c r="C135" s="14"/>
      <c r="D135" s="14"/>
      <c r="E135" s="14"/>
      <c r="F135" s="14"/>
      <c r="H135" s="16">
        <f>SUM(H131:H134)</f>
        <v>100.00000000000001</v>
      </c>
      <c r="S135" t="s">
        <v>31</v>
      </c>
      <c r="T135" s="9" t="s">
        <v>76</v>
      </c>
      <c r="U135" t="s">
        <v>34</v>
      </c>
      <c r="V135">
        <v>700</v>
      </c>
      <c r="W135" t="s">
        <v>32</v>
      </c>
      <c r="Y135" s="183" t="s">
        <v>76</v>
      </c>
      <c r="Z135" s="79" t="s">
        <v>34</v>
      </c>
      <c r="AA135" s="184">
        <f>V135+V137*(V135/(V135+V136))</f>
        <v>747.52475247524751</v>
      </c>
    </row>
    <row r="136" spans="2:27" ht="15" thickTop="1" x14ac:dyDescent="0.2">
      <c r="B136" s="280">
        <v>33</v>
      </c>
      <c r="C136" s="96" t="s">
        <v>31</v>
      </c>
      <c r="D136" s="14" t="s">
        <v>74</v>
      </c>
      <c r="E136" s="14" t="s">
        <v>32</v>
      </c>
      <c r="F136" s="14" t="s">
        <v>75</v>
      </c>
      <c r="H136" s="1">
        <f>B136/$B$141*100</f>
        <v>1.3032040037546095</v>
      </c>
      <c r="J136">
        <f>B136/$U$68</f>
        <v>0.2185430463576159</v>
      </c>
      <c r="L136">
        <f>J136*10*$S$68</f>
        <v>43457.284768211925</v>
      </c>
      <c r="S136" t="s">
        <v>31</v>
      </c>
      <c r="T136" s="9" t="s">
        <v>76</v>
      </c>
      <c r="U136" t="s">
        <v>75</v>
      </c>
      <c r="V136">
        <v>7</v>
      </c>
      <c r="W136" t="s">
        <v>32</v>
      </c>
      <c r="Y136" s="183"/>
      <c r="Z136" s="79" t="s">
        <v>75</v>
      </c>
      <c r="AA136" s="184">
        <f>V136+V137*(V136/(V136+V135))</f>
        <v>7.4752475247524757</v>
      </c>
    </row>
    <row r="137" spans="2:27" ht="14.25" x14ac:dyDescent="0.2">
      <c r="B137" s="281">
        <v>7.4752475247524757</v>
      </c>
      <c r="C137" s="96" t="s">
        <v>31</v>
      </c>
      <c r="D137" s="14" t="s">
        <v>76</v>
      </c>
      <c r="E137" s="14" t="s">
        <v>32</v>
      </c>
      <c r="F137" s="14" t="s">
        <v>75</v>
      </c>
      <c r="H137" s="1">
        <f>B137/$B$141*100</f>
        <v>0.29520522737315635</v>
      </c>
      <c r="J137">
        <f t="shared" ref="J137:J140" si="68">B137/$U$68</f>
        <v>4.9504950495049507E-2</v>
      </c>
      <c r="L137">
        <f t="shared" ref="L137:L140" si="69">J137*10*$S$68</f>
        <v>9844.0594059405939</v>
      </c>
      <c r="S137" t="s">
        <v>31</v>
      </c>
      <c r="T137" s="9" t="s">
        <v>76</v>
      </c>
      <c r="U137" t="s">
        <v>8</v>
      </c>
      <c r="V137">
        <v>48</v>
      </c>
      <c r="W137" t="s">
        <v>32</v>
      </c>
      <c r="Y137" s="183" t="s">
        <v>77</v>
      </c>
      <c r="Z137" s="79" t="s">
        <v>34</v>
      </c>
      <c r="AA137" s="184">
        <f>V138</f>
        <v>391</v>
      </c>
    </row>
    <row r="138" spans="2:27" ht="14.25" x14ac:dyDescent="0.2">
      <c r="B138" s="281">
        <v>61</v>
      </c>
      <c r="C138" s="96" t="s">
        <v>31</v>
      </c>
      <c r="D138" s="14" t="s">
        <v>77</v>
      </c>
      <c r="E138" s="14" t="s">
        <v>32</v>
      </c>
      <c r="F138" s="14" t="s">
        <v>75</v>
      </c>
      <c r="H138" s="1">
        <f>B138/$B$141*100</f>
        <v>2.4089528554251873</v>
      </c>
      <c r="J138">
        <f t="shared" si="68"/>
        <v>0.40397350993377484</v>
      </c>
      <c r="L138">
        <f t="shared" si="69"/>
        <v>80330.132450331119</v>
      </c>
      <c r="S138" t="s">
        <v>31</v>
      </c>
      <c r="T138" s="9" t="s">
        <v>77</v>
      </c>
      <c r="U138" t="s">
        <v>34</v>
      </c>
      <c r="V138">
        <v>391</v>
      </c>
      <c r="W138" t="s">
        <v>32</v>
      </c>
      <c r="Y138" s="183"/>
      <c r="Z138" s="79" t="s">
        <v>75</v>
      </c>
      <c r="AA138" s="184">
        <f>V139</f>
        <v>61</v>
      </c>
    </row>
    <row r="139" spans="2:27" ht="14.25" x14ac:dyDescent="0.2">
      <c r="B139" s="281">
        <v>2244.7453338212999</v>
      </c>
      <c r="C139" s="96" t="s">
        <v>31</v>
      </c>
      <c r="D139" s="14" t="s">
        <v>78</v>
      </c>
      <c r="E139" s="14" t="s">
        <v>32</v>
      </c>
      <c r="F139" s="14" t="s">
        <v>75</v>
      </c>
      <c r="H139" s="1">
        <f>B139/$B$141*100</f>
        <v>88.647306255921066</v>
      </c>
      <c r="J139">
        <f t="shared" si="68"/>
        <v>14.865863137889404</v>
      </c>
      <c r="L139">
        <f t="shared" si="69"/>
        <v>2956076.8849693076</v>
      </c>
      <c r="S139" t="s">
        <v>31</v>
      </c>
      <c r="T139" s="9" t="s">
        <v>77</v>
      </c>
      <c r="U139" t="s">
        <v>75</v>
      </c>
      <c r="V139">
        <v>61</v>
      </c>
      <c r="W139" t="s">
        <v>32</v>
      </c>
      <c r="Y139" s="183" t="s">
        <v>78</v>
      </c>
      <c r="Z139" s="79" t="s">
        <v>34</v>
      </c>
      <c r="AA139" s="184">
        <f>V140+V142*(V140/(V140+V141))</f>
        <v>17423.254666178702</v>
      </c>
    </row>
    <row r="140" spans="2:27" ht="15" thickBot="1" x14ac:dyDescent="0.25">
      <c r="B140" s="282">
        <v>186</v>
      </c>
      <c r="C140" s="96" t="s">
        <v>31</v>
      </c>
      <c r="D140" s="14" t="s">
        <v>79</v>
      </c>
      <c r="E140" s="14" t="s">
        <v>32</v>
      </c>
      <c r="F140" s="14" t="s">
        <v>75</v>
      </c>
      <c r="H140" s="1">
        <f>B140/$B$141*100</f>
        <v>7.3453316575259802</v>
      </c>
      <c r="J140">
        <f t="shared" si="68"/>
        <v>1.2317880794701987</v>
      </c>
      <c r="L140">
        <f t="shared" si="69"/>
        <v>244941.05960264904</v>
      </c>
      <c r="S140" t="s">
        <v>31</v>
      </c>
      <c r="T140" s="9" t="s">
        <v>78</v>
      </c>
      <c r="U140" t="s">
        <v>34</v>
      </c>
      <c r="V140">
        <v>16944</v>
      </c>
      <c r="W140" t="s">
        <v>32</v>
      </c>
      <c r="Y140" s="183"/>
      <c r="Z140" s="79" t="s">
        <v>75</v>
      </c>
      <c r="AA140" s="184">
        <f>V141+V142*(V141/(V141+V140))</f>
        <v>2244.7453338212999</v>
      </c>
    </row>
    <row r="141" spans="2:27" ht="15" thickTop="1" x14ac:dyDescent="0.2">
      <c r="B141" s="283">
        <f>SUM(B136:B140)</f>
        <v>2532.2205813460523</v>
      </c>
      <c r="C141" s="96"/>
      <c r="D141" s="14"/>
      <c r="E141" s="14"/>
      <c r="F141" s="14"/>
      <c r="H141" s="16">
        <f>SUM(H136:H140)</f>
        <v>100</v>
      </c>
      <c r="S141" t="s">
        <v>31</v>
      </c>
      <c r="T141" s="9" t="s">
        <v>78</v>
      </c>
      <c r="U141" t="s">
        <v>75</v>
      </c>
      <c r="V141">
        <v>2183</v>
      </c>
      <c r="W141" t="s">
        <v>32</v>
      </c>
      <c r="Y141" s="183" t="s">
        <v>79</v>
      </c>
      <c r="Z141" s="79" t="s">
        <v>34</v>
      </c>
      <c r="AA141" s="184">
        <f>V143</f>
        <v>312</v>
      </c>
    </row>
    <row r="142" spans="2:27" ht="15" thickBot="1" x14ac:dyDescent="0.25">
      <c r="B142" s="114"/>
      <c r="C142" s="14"/>
      <c r="D142" s="14"/>
      <c r="E142" s="14"/>
      <c r="F142" s="14"/>
      <c r="S142" t="s">
        <v>31</v>
      </c>
      <c r="T142" s="9" t="s">
        <v>78</v>
      </c>
      <c r="U142" t="s">
        <v>8</v>
      </c>
      <c r="V142">
        <v>541</v>
      </c>
      <c r="W142" t="s">
        <v>32</v>
      </c>
      <c r="Y142" s="183"/>
      <c r="Z142" s="79" t="s">
        <v>75</v>
      </c>
      <c r="AA142" s="184">
        <f>V144</f>
        <v>186</v>
      </c>
    </row>
    <row r="143" spans="2:27" ht="14.25" x14ac:dyDescent="0.2">
      <c r="B143" s="13" t="s">
        <v>34</v>
      </c>
      <c r="C143" s="14" t="s">
        <v>81</v>
      </c>
      <c r="D143" s="14" t="s">
        <v>62</v>
      </c>
      <c r="E143" s="14"/>
      <c r="F143" s="14"/>
      <c r="H143" s="135">
        <f>P96</f>
        <v>83.057979393622716</v>
      </c>
      <c r="I143" t="s">
        <v>2</v>
      </c>
      <c r="S143" t="s">
        <v>31</v>
      </c>
      <c r="T143" s="9" t="s">
        <v>79</v>
      </c>
      <c r="U143" t="s">
        <v>34</v>
      </c>
      <c r="V143">
        <v>312</v>
      </c>
      <c r="W143" t="s">
        <v>32</v>
      </c>
      <c r="Y143" s="183" t="s">
        <v>82</v>
      </c>
      <c r="Z143" s="79" t="s">
        <v>34</v>
      </c>
      <c r="AA143" s="184">
        <f>V145</f>
        <v>59</v>
      </c>
    </row>
    <row r="144" spans="2:27" ht="14.25" x14ac:dyDescent="0.2">
      <c r="B144" s="15"/>
      <c r="C144" s="14"/>
      <c r="D144" s="14" t="s">
        <v>63</v>
      </c>
      <c r="E144" s="14"/>
      <c r="F144" s="14"/>
      <c r="H144" s="136">
        <f>P93</f>
        <v>4.2372390540296649</v>
      </c>
      <c r="I144" t="s">
        <v>2</v>
      </c>
      <c r="S144" t="s">
        <v>31</v>
      </c>
      <c r="T144" s="9" t="s">
        <v>79</v>
      </c>
      <c r="U144" t="s">
        <v>75</v>
      </c>
      <c r="V144">
        <v>186</v>
      </c>
      <c r="W144" t="s">
        <v>32</v>
      </c>
      <c r="Y144" s="185"/>
      <c r="Z144" s="181" t="s">
        <v>75</v>
      </c>
      <c r="AA144" s="186">
        <f>V133</f>
        <v>33</v>
      </c>
    </row>
    <row r="145" spans="2:23" ht="14.25" x14ac:dyDescent="0.2">
      <c r="B145" s="13"/>
      <c r="C145" s="14"/>
      <c r="D145" s="14" t="s">
        <v>76</v>
      </c>
      <c r="E145" s="14"/>
      <c r="F145" s="14"/>
      <c r="H145" s="136">
        <f>P94</f>
        <v>4.1280488678999632</v>
      </c>
      <c r="I145" t="s">
        <v>2</v>
      </c>
      <c r="S145" t="s">
        <v>31</v>
      </c>
      <c r="T145" s="9" t="s">
        <v>80</v>
      </c>
      <c r="U145" t="s">
        <v>34</v>
      </c>
      <c r="V145">
        <v>59</v>
      </c>
      <c r="W145" t="s">
        <v>32</v>
      </c>
    </row>
    <row r="146" spans="2:23" ht="14.25" x14ac:dyDescent="0.2">
      <c r="B146" s="13"/>
      <c r="C146" s="14"/>
      <c r="D146" s="14" t="s">
        <v>65</v>
      </c>
      <c r="E146" s="14"/>
      <c r="F146" s="14"/>
      <c r="H146" s="136">
        <f>P95</f>
        <v>7.4750323704561428</v>
      </c>
      <c r="I146" t="s">
        <v>2</v>
      </c>
    </row>
    <row r="147" spans="2:23" ht="14.25" x14ac:dyDescent="0.2">
      <c r="B147" s="13"/>
      <c r="C147" s="14"/>
      <c r="D147" s="14" t="s">
        <v>106</v>
      </c>
      <c r="E147" s="14"/>
      <c r="F147" s="14"/>
      <c r="H147" s="136">
        <f>P97</f>
        <v>0.7320328104678786</v>
      </c>
      <c r="I147" t="s">
        <v>2</v>
      </c>
    </row>
    <row r="148" spans="2:23" ht="15" thickBot="1" x14ac:dyDescent="0.25">
      <c r="B148" s="15"/>
      <c r="C148" s="14"/>
      <c r="D148" s="14" t="s">
        <v>82</v>
      </c>
      <c r="E148" s="14"/>
      <c r="F148" s="14"/>
      <c r="H148" s="137">
        <f>P98</f>
        <v>0.36966750352363531</v>
      </c>
      <c r="I148" t="s">
        <v>2</v>
      </c>
    </row>
    <row r="149" spans="2:23" ht="14.25" x14ac:dyDescent="0.2">
      <c r="B149" s="13"/>
      <c r="C149" s="14"/>
      <c r="D149" s="14"/>
      <c r="E149" s="14"/>
      <c r="F149" s="14"/>
      <c r="H149" s="1">
        <f>SUM(H143:H148)</f>
        <v>100.00000000000001</v>
      </c>
    </row>
    <row r="150" spans="2:23" ht="15" thickBot="1" x14ac:dyDescent="0.25">
      <c r="B150" s="13"/>
      <c r="C150" s="14"/>
      <c r="D150" s="14"/>
      <c r="E150" s="14"/>
      <c r="F150" s="14"/>
    </row>
    <row r="151" spans="2:23" ht="14.25" x14ac:dyDescent="0.2">
      <c r="B151" s="13" t="s">
        <v>7</v>
      </c>
      <c r="C151" s="14" t="s">
        <v>81</v>
      </c>
      <c r="D151" s="14" t="s">
        <v>62</v>
      </c>
      <c r="E151" s="14"/>
      <c r="F151" s="14"/>
      <c r="H151" s="135">
        <f>P124</f>
        <v>76.266452509653249</v>
      </c>
      <c r="I151" t="s">
        <v>2</v>
      </c>
    </row>
    <row r="152" spans="2:23" ht="14.25" x14ac:dyDescent="0.2">
      <c r="B152" s="15"/>
      <c r="C152" s="14"/>
      <c r="D152" s="14" t="s">
        <v>63</v>
      </c>
      <c r="E152" s="14"/>
      <c r="F152" s="14"/>
      <c r="H152" s="136">
        <f>P121</f>
        <v>0</v>
      </c>
      <c r="I152" t="s">
        <v>2</v>
      </c>
    </row>
    <row r="153" spans="2:23" ht="14.25" x14ac:dyDescent="0.2">
      <c r="B153" s="13"/>
      <c r="C153" s="14"/>
      <c r="D153" s="14" t="s">
        <v>76</v>
      </c>
      <c r="E153" s="14"/>
      <c r="F153" s="14"/>
      <c r="H153" s="136">
        <f>P122</f>
        <v>0.68158711500309332</v>
      </c>
      <c r="I153" t="s">
        <v>2</v>
      </c>
    </row>
    <row r="154" spans="2:23" ht="14.25" x14ac:dyDescent="0.2">
      <c r="B154" s="13"/>
      <c r="C154" s="14"/>
      <c r="D154" s="14" t="s">
        <v>65</v>
      </c>
      <c r="E154" s="14"/>
      <c r="F154" s="14"/>
      <c r="H154" s="136">
        <f>P123</f>
        <v>8.5929065463644907</v>
      </c>
      <c r="I154" t="s">
        <v>2</v>
      </c>
    </row>
    <row r="155" spans="2:23" ht="14.25" x14ac:dyDescent="0.2">
      <c r="B155" s="13"/>
      <c r="C155" s="14"/>
      <c r="D155" s="14" t="s">
        <v>106</v>
      </c>
      <c r="E155" s="21"/>
      <c r="F155" s="21"/>
      <c r="H155" s="136">
        <f>P125</f>
        <v>13.652331592648871</v>
      </c>
      <c r="I155" t="s">
        <v>2</v>
      </c>
    </row>
    <row r="156" spans="2:23" ht="15" thickBot="1" x14ac:dyDescent="0.25">
      <c r="B156" s="15"/>
      <c r="C156" s="14"/>
      <c r="D156" s="14" t="s">
        <v>82</v>
      </c>
      <c r="H156" s="137">
        <f>P126</f>
        <v>0.80672223633030016</v>
      </c>
      <c r="I156" t="s">
        <v>2</v>
      </c>
    </row>
    <row r="157" spans="2:23" x14ac:dyDescent="0.2">
      <c r="H157" s="1">
        <f>SUM(H151:H156)</f>
        <v>100</v>
      </c>
      <c r="I157" t="s">
        <v>2</v>
      </c>
    </row>
    <row r="161" spans="1:27" x14ac:dyDescent="0.2">
      <c r="B161" s="84" t="s">
        <v>85</v>
      </c>
      <c r="C161" s="53"/>
    </row>
    <row r="162" spans="1:27" ht="13.5" thickBot="1" x14ac:dyDescent="0.25">
      <c r="D162">
        <v>2012</v>
      </c>
      <c r="E162">
        <v>2020</v>
      </c>
    </row>
    <row r="163" spans="1:27" ht="13.5" thickTop="1" x14ac:dyDescent="0.2">
      <c r="B163" t="s">
        <v>86</v>
      </c>
      <c r="D163" s="119">
        <v>34.3115250426887</v>
      </c>
      <c r="E163" s="153">
        <v>34.3115250426887</v>
      </c>
    </row>
    <row r="164" spans="1:27" x14ac:dyDescent="0.2">
      <c r="B164" t="s">
        <v>87</v>
      </c>
      <c r="D164" s="120">
        <v>71.162589235423198</v>
      </c>
      <c r="E164" s="154">
        <v>71.162589235423198</v>
      </c>
    </row>
    <row r="165" spans="1:27" x14ac:dyDescent="0.2">
      <c r="B165" t="s">
        <v>88</v>
      </c>
      <c r="D165" s="120">
        <v>72.277569276209135</v>
      </c>
      <c r="E165" s="154">
        <v>72.277569276209135</v>
      </c>
    </row>
    <row r="166" spans="1:27" x14ac:dyDescent="0.2">
      <c r="B166" t="s">
        <v>89</v>
      </c>
      <c r="D166" s="120">
        <v>82.956538079896461</v>
      </c>
      <c r="E166" s="154">
        <v>82.956538079896461</v>
      </c>
    </row>
    <row r="167" spans="1:27" ht="13.5" thickBot="1" x14ac:dyDescent="0.25">
      <c r="B167" t="s">
        <v>104</v>
      </c>
      <c r="D167" s="121">
        <v>37.687432530831366</v>
      </c>
      <c r="E167" s="155">
        <v>37.687432530831366</v>
      </c>
    </row>
    <row r="168" spans="1:27" ht="13.5" thickTop="1" x14ac:dyDescent="0.2"/>
    <row r="169" spans="1:27" x14ac:dyDescent="0.2">
      <c r="B169" t="s">
        <v>23</v>
      </c>
    </row>
    <row r="170" spans="1:27" x14ac:dyDescent="0.2">
      <c r="F170" t="s">
        <v>24</v>
      </c>
      <c r="G170" t="s">
        <v>197</v>
      </c>
      <c r="H170" t="s">
        <v>90</v>
      </c>
      <c r="I170" s="1"/>
    </row>
    <row r="171" spans="1:27" x14ac:dyDescent="0.2">
      <c r="B171" t="s">
        <v>86</v>
      </c>
      <c r="D171" s="2">
        <f>100-D163</f>
        <v>65.6884749573113</v>
      </c>
      <c r="E171" s="2">
        <f>100-E163</f>
        <v>65.6884749573113</v>
      </c>
      <c r="F171" s="2">
        <f>D171-E171</f>
        <v>0</v>
      </c>
      <c r="G171" s="2">
        <f>F171/D171*100</f>
        <v>0</v>
      </c>
      <c r="H171" s="65">
        <f>IF(G171&lt;0,0,G171)</f>
        <v>0</v>
      </c>
      <c r="I171" s="1" t="s">
        <v>2</v>
      </c>
    </row>
    <row r="172" spans="1:27" x14ac:dyDescent="0.2">
      <c r="B172" t="s">
        <v>87</v>
      </c>
      <c r="D172" s="2">
        <f t="shared" ref="D172:E172" si="70">100-D164</f>
        <v>28.837410764576802</v>
      </c>
      <c r="E172" s="2">
        <f t="shared" si="70"/>
        <v>28.837410764576802</v>
      </c>
      <c r="F172" s="2">
        <f t="shared" ref="F172:F175" si="71">D172-E172</f>
        <v>0</v>
      </c>
      <c r="G172" s="2">
        <f t="shared" ref="G172:G175" si="72">F172/D172*100</f>
        <v>0</v>
      </c>
      <c r="H172" s="228">
        <f t="shared" ref="H172:H175" si="73">IF(G172&lt;0,0,G172)</f>
        <v>0</v>
      </c>
      <c r="I172" s="1" t="s">
        <v>2</v>
      </c>
    </row>
    <row r="173" spans="1:27" s="4" customFormat="1" x14ac:dyDescent="0.2">
      <c r="A173"/>
      <c r="B173" t="s">
        <v>88</v>
      </c>
      <c r="C173"/>
      <c r="D173" s="2">
        <f t="shared" ref="D173:E173" si="74">100-D165</f>
        <v>27.722430723790865</v>
      </c>
      <c r="E173" s="2">
        <f t="shared" si="74"/>
        <v>27.722430723790865</v>
      </c>
      <c r="F173" s="2">
        <f t="shared" si="71"/>
        <v>0</v>
      </c>
      <c r="G173" s="2">
        <f t="shared" si="72"/>
        <v>0</v>
      </c>
      <c r="H173" s="228">
        <f t="shared" si="73"/>
        <v>0</v>
      </c>
      <c r="I173" s="1" t="s">
        <v>2</v>
      </c>
      <c r="J173"/>
      <c r="K173"/>
      <c r="L173"/>
      <c r="M173"/>
      <c r="N173"/>
      <c r="O173"/>
      <c r="P173"/>
      <c r="Q173"/>
      <c r="R173" s="1"/>
      <c r="S173"/>
      <c r="T173"/>
      <c r="U173"/>
      <c r="V173"/>
      <c r="W173"/>
      <c r="X173"/>
      <c r="Y173"/>
      <c r="Z173"/>
      <c r="AA173"/>
    </row>
    <row r="174" spans="1:27" x14ac:dyDescent="0.2">
      <c r="A174" s="4"/>
      <c r="B174" t="s">
        <v>89</v>
      </c>
      <c r="D174" s="2">
        <f t="shared" ref="D174:E175" si="75">100-D166</f>
        <v>17.043461920103539</v>
      </c>
      <c r="E174" s="2">
        <f t="shared" si="75"/>
        <v>17.043461920103539</v>
      </c>
      <c r="F174" s="2">
        <f t="shared" si="71"/>
        <v>0</v>
      </c>
      <c r="G174" s="2">
        <f t="shared" si="72"/>
        <v>0</v>
      </c>
      <c r="H174" s="228">
        <f t="shared" si="73"/>
        <v>0</v>
      </c>
      <c r="I174" s="1" t="s">
        <v>2</v>
      </c>
      <c r="Y174" s="4"/>
      <c r="Z174" s="4"/>
      <c r="AA174" s="4"/>
    </row>
    <row r="175" spans="1:27" x14ac:dyDescent="0.2">
      <c r="B175" t="s">
        <v>104</v>
      </c>
      <c r="D175" s="2">
        <f t="shared" si="75"/>
        <v>62.312567469168634</v>
      </c>
      <c r="E175" s="2">
        <f t="shared" si="75"/>
        <v>62.312567469168634</v>
      </c>
      <c r="F175" s="2">
        <f t="shared" si="71"/>
        <v>0</v>
      </c>
      <c r="G175" s="2">
        <f t="shared" si="72"/>
        <v>0</v>
      </c>
      <c r="H175" s="229">
        <f t="shared" si="73"/>
        <v>0</v>
      </c>
      <c r="I175" s="1" t="s">
        <v>2</v>
      </c>
    </row>
    <row r="178" spans="1:27" x14ac:dyDescent="0.2">
      <c r="B178" s="84" t="s">
        <v>92</v>
      </c>
      <c r="C178" s="53"/>
    </row>
    <row r="180" spans="1:27" s="4" customFormat="1" ht="15" thickBot="1" x14ac:dyDescent="0.25">
      <c r="A180"/>
      <c r="B180" s="12" t="s">
        <v>93</v>
      </c>
      <c r="C180" s="97" t="s">
        <v>69</v>
      </c>
      <c r="D180" s="12" t="s">
        <v>70</v>
      </c>
      <c r="E180" s="12" t="s">
        <v>73</v>
      </c>
      <c r="F180"/>
      <c r="G180"/>
      <c r="H180" s="1"/>
      <c r="I180"/>
      <c r="J180" t="str">
        <f>J91</f>
        <v>items per 100 m</v>
      </c>
      <c r="K180"/>
      <c r="L180" t="str">
        <f>L91</f>
        <v>items over full coastline</v>
      </c>
      <c r="M180"/>
      <c r="N180" t="str">
        <f>N91</f>
        <v>EU share</v>
      </c>
      <c r="O180"/>
      <c r="P180"/>
      <c r="Q180"/>
      <c r="R180" s="16"/>
      <c r="S180"/>
      <c r="T180"/>
      <c r="U180"/>
      <c r="V180"/>
      <c r="W180"/>
      <c r="X180"/>
      <c r="Y180"/>
      <c r="Z180"/>
      <c r="AA180"/>
    </row>
    <row r="181" spans="1:27" ht="15" thickTop="1" x14ac:dyDescent="0.2">
      <c r="A181" s="4"/>
      <c r="B181" s="95" t="s">
        <v>63</v>
      </c>
      <c r="C181" s="99">
        <v>219</v>
      </c>
      <c r="D181" s="96" t="s">
        <v>35</v>
      </c>
      <c r="E181" s="14" t="s">
        <v>34</v>
      </c>
      <c r="G181" s="20" t="s">
        <v>62</v>
      </c>
      <c r="H181" s="1">
        <f>C185/C187*100</f>
        <v>43.469327854417379</v>
      </c>
      <c r="I181" s="21" t="s">
        <v>2</v>
      </c>
      <c r="J181">
        <f>C185/$U$66</f>
        <v>29.230263157894736</v>
      </c>
      <c r="L181">
        <f>J181*10*$S$66</f>
        <v>3823318.4210526315</v>
      </c>
      <c r="N181" t="str">
        <f>G181</f>
        <v>plastic</v>
      </c>
      <c r="O181">
        <f>L181+L188+L195+L202</f>
        <v>102490736.79552585</v>
      </c>
      <c r="P181" s="2">
        <f t="shared" ref="P181:P186" si="76">O181/$O$188*100</f>
        <v>61.076597781504347</v>
      </c>
      <c r="Q181" t="s">
        <v>2</v>
      </c>
      <c r="W181" s="4"/>
      <c r="Y181" s="4"/>
      <c r="Z181" s="4"/>
      <c r="AA181" s="4"/>
    </row>
    <row r="182" spans="1:27" ht="14.25" x14ac:dyDescent="0.2">
      <c r="B182" s="95" t="s">
        <v>64</v>
      </c>
      <c r="C182" s="100">
        <v>1062</v>
      </c>
      <c r="D182" s="96" t="s">
        <v>35</v>
      </c>
      <c r="E182" s="14" t="s">
        <v>34</v>
      </c>
      <c r="G182" s="20" t="s">
        <v>63</v>
      </c>
      <c r="H182" s="1">
        <f>C181/C187*100</f>
        <v>2.1426474904608162</v>
      </c>
      <c r="I182" s="21" t="s">
        <v>2</v>
      </c>
      <c r="J182">
        <f>C181/$U$66</f>
        <v>1.4407894736842106</v>
      </c>
      <c r="L182">
        <f t="shared" ref="L182:L186" si="77">J182*10*$S$66</f>
        <v>188455.26315789475</v>
      </c>
      <c r="N182" t="str">
        <f t="shared" ref="N182:N186" si="78">G182</f>
        <v>glass</v>
      </c>
      <c r="O182">
        <f t="shared" ref="O182:O186" si="79">L182+L189+L196+L203</f>
        <v>4956299.1153983697</v>
      </c>
      <c r="P182" s="2">
        <f t="shared" si="76"/>
        <v>2.9535731425166882</v>
      </c>
      <c r="Q182" t="s">
        <v>2</v>
      </c>
      <c r="U182" s="4"/>
      <c r="V182" s="4"/>
      <c r="X182" s="4"/>
    </row>
    <row r="183" spans="1:27" ht="14.25" x14ac:dyDescent="0.2">
      <c r="B183" s="95" t="s">
        <v>82</v>
      </c>
      <c r="C183" s="100">
        <v>1000</v>
      </c>
      <c r="D183" s="96" t="s">
        <v>35</v>
      </c>
      <c r="E183" s="14" t="s">
        <v>34</v>
      </c>
      <c r="G183" s="20" t="s">
        <v>76</v>
      </c>
      <c r="H183" s="1">
        <f>C182/C187*100</f>
        <v>10.390372761960668</v>
      </c>
      <c r="I183" s="21" t="s">
        <v>2</v>
      </c>
      <c r="J183">
        <f>C182/$U$66</f>
        <v>6.9868421052631575</v>
      </c>
      <c r="L183">
        <f t="shared" si="77"/>
        <v>913878.94736842101</v>
      </c>
      <c r="N183" t="str">
        <f t="shared" si="78"/>
        <v>metal</v>
      </c>
      <c r="O183">
        <f t="shared" si="79"/>
        <v>4858965.4460353171</v>
      </c>
      <c r="P183" s="2">
        <f t="shared" si="76"/>
        <v>2.895569760355964</v>
      </c>
      <c r="Q183" t="s">
        <v>2</v>
      </c>
      <c r="S183" s="4"/>
      <c r="T183" s="4"/>
    </row>
    <row r="184" spans="1:27" ht="14.25" x14ac:dyDescent="0.2">
      <c r="B184" s="95" t="s">
        <v>65</v>
      </c>
      <c r="C184" s="100">
        <v>3268</v>
      </c>
      <c r="D184" s="96" t="s">
        <v>35</v>
      </c>
      <c r="E184" s="14" t="s">
        <v>34</v>
      </c>
      <c r="G184" s="21" t="s">
        <v>65</v>
      </c>
      <c r="H184" s="1">
        <f>C184/C187*100</f>
        <v>31.973388122492906</v>
      </c>
      <c r="I184" s="21" t="s">
        <v>2</v>
      </c>
      <c r="J184">
        <f>C184/$U$66</f>
        <v>21.5</v>
      </c>
      <c r="L184">
        <f t="shared" si="77"/>
        <v>2812200</v>
      </c>
      <c r="N184" t="str">
        <f t="shared" si="78"/>
        <v>paper</v>
      </c>
      <c r="O184">
        <f t="shared" si="79"/>
        <v>34981217.048249759</v>
      </c>
      <c r="P184" s="2">
        <f t="shared" si="76"/>
        <v>20.846115369684046</v>
      </c>
      <c r="Q184" t="s">
        <v>2</v>
      </c>
    </row>
    <row r="185" spans="1:27" ht="14.25" x14ac:dyDescent="0.2">
      <c r="B185" s="95" t="s">
        <v>94</v>
      </c>
      <c r="C185" s="100">
        <v>4443</v>
      </c>
      <c r="D185" s="96" t="s">
        <v>35</v>
      </c>
      <c r="E185" s="14" t="s">
        <v>34</v>
      </c>
      <c r="G185" s="21" t="s">
        <v>106</v>
      </c>
      <c r="H185" s="1">
        <f>C186/C187*100</f>
        <v>2.2404852754133646</v>
      </c>
      <c r="I185" s="21" t="s">
        <v>2</v>
      </c>
      <c r="J185">
        <f>C186/$U$66</f>
        <v>1.506578947368421</v>
      </c>
      <c r="L185">
        <f t="shared" si="77"/>
        <v>197060.52631578947</v>
      </c>
      <c r="N185" t="str">
        <f t="shared" si="78"/>
        <v>wood</v>
      </c>
      <c r="O185">
        <f>L185+L192+L199+L206</f>
        <v>856258.88100745541</v>
      </c>
      <c r="P185" s="2">
        <f t="shared" si="76"/>
        <v>0.51026444835174956</v>
      </c>
      <c r="Q185" t="s">
        <v>2</v>
      </c>
    </row>
    <row r="186" spans="1:27" ht="15" thickBot="1" x14ac:dyDescent="0.25">
      <c r="B186" s="95" t="s">
        <v>106</v>
      </c>
      <c r="C186" s="101">
        <v>229</v>
      </c>
      <c r="D186" s="96" t="s">
        <v>35</v>
      </c>
      <c r="E186" s="14" t="s">
        <v>34</v>
      </c>
      <c r="G186" s="21" t="s">
        <v>82</v>
      </c>
      <c r="H186" s="1">
        <f>C183/C187*100</f>
        <v>9.7837784952548681</v>
      </c>
      <c r="I186" s="21" t="s">
        <v>2</v>
      </c>
      <c r="J186">
        <f>C183/$U$66</f>
        <v>6.5789473684210522</v>
      </c>
      <c r="L186">
        <f t="shared" si="77"/>
        <v>860526.31578947359</v>
      </c>
      <c r="N186" t="str">
        <f t="shared" si="78"/>
        <v>other</v>
      </c>
      <c r="O186">
        <f t="shared" si="79"/>
        <v>19663408.686994426</v>
      </c>
      <c r="P186" s="2">
        <f t="shared" si="76"/>
        <v>11.717879497587189</v>
      </c>
      <c r="Q186" t="s">
        <v>2</v>
      </c>
    </row>
    <row r="187" spans="1:27" s="4" customFormat="1" ht="15.75" thickTop="1" thickBot="1" x14ac:dyDescent="0.25">
      <c r="A187"/>
      <c r="B187" s="22"/>
      <c r="C187" s="98">
        <f>SUM(C181:C186)</f>
        <v>10221</v>
      </c>
      <c r="D187" s="22"/>
      <c r="E187" s="22"/>
      <c r="H187" s="16">
        <f>SUM(H181:H186)</f>
        <v>100</v>
      </c>
      <c r="L187"/>
      <c r="P187"/>
      <c r="Q187"/>
      <c r="R187" s="16"/>
      <c r="S187"/>
      <c r="T187"/>
      <c r="U187"/>
      <c r="V187"/>
      <c r="W187"/>
      <c r="X187"/>
      <c r="Y187"/>
      <c r="Z187"/>
      <c r="AA187"/>
    </row>
    <row r="188" spans="1:27" ht="15" thickTop="1" x14ac:dyDescent="0.2">
      <c r="A188" s="4"/>
      <c r="B188" s="14" t="s">
        <v>63</v>
      </c>
      <c r="C188" s="99">
        <v>24</v>
      </c>
      <c r="D188" s="14" t="s">
        <v>36</v>
      </c>
      <c r="E188" s="14" t="s">
        <v>34</v>
      </c>
      <c r="G188" s="20" t="s">
        <v>62</v>
      </c>
      <c r="H188" s="1">
        <f>C192/C194*100</f>
        <v>40.438512869399432</v>
      </c>
      <c r="I188" s="21" t="s">
        <v>2</v>
      </c>
      <c r="J188">
        <f>C192/$U$69</f>
        <v>303</v>
      </c>
      <c r="L188">
        <f>J188*10*$S$69</f>
        <v>1911930</v>
      </c>
      <c r="O188">
        <f>SUM(O181:O187)</f>
        <v>167806885.9732112</v>
      </c>
      <c r="W188" s="4"/>
      <c r="Y188" s="4"/>
      <c r="Z188" s="4"/>
      <c r="AA188" s="4"/>
    </row>
    <row r="189" spans="1:27" ht="14.25" x14ac:dyDescent="0.2">
      <c r="B189" s="14" t="s">
        <v>64</v>
      </c>
      <c r="C189" s="100">
        <v>474</v>
      </c>
      <c r="D189" s="14" t="s">
        <v>36</v>
      </c>
      <c r="E189" s="14" t="s">
        <v>34</v>
      </c>
      <c r="G189" s="20" t="s">
        <v>63</v>
      </c>
      <c r="H189" s="1">
        <f>C188/C194*100</f>
        <v>0.45757864632983797</v>
      </c>
      <c r="I189" s="21" t="s">
        <v>2</v>
      </c>
      <c r="J189">
        <f>C188/$U$69</f>
        <v>3.4285714285714284</v>
      </c>
      <c r="L189">
        <f t="shared" ref="L189:L193" si="80">J189*10*$S$69</f>
        <v>21634.285714285714</v>
      </c>
      <c r="U189" s="4"/>
      <c r="V189" s="4"/>
      <c r="X189" s="4"/>
    </row>
    <row r="190" spans="1:27" ht="14.25" x14ac:dyDescent="0.2">
      <c r="B190" s="14" t="s">
        <v>82</v>
      </c>
      <c r="C190" s="100">
        <v>171</v>
      </c>
      <c r="D190" s="14" t="s">
        <v>36</v>
      </c>
      <c r="E190" s="14" t="s">
        <v>34</v>
      </c>
      <c r="G190" s="20" t="s">
        <v>76</v>
      </c>
      <c r="H190" s="1">
        <f>C189/C194*100</f>
        <v>9.0371782650142993</v>
      </c>
      <c r="I190" s="21" t="s">
        <v>2</v>
      </c>
      <c r="J190">
        <f>C189/$U$69</f>
        <v>67.714285714285708</v>
      </c>
      <c r="L190">
        <f t="shared" si="80"/>
        <v>427277.14285714284</v>
      </c>
      <c r="S190" s="4"/>
      <c r="T190" s="4"/>
    </row>
    <row r="191" spans="1:27" ht="14.25" x14ac:dyDescent="0.2">
      <c r="B191" s="14" t="s">
        <v>65</v>
      </c>
      <c r="C191" s="100">
        <v>2386</v>
      </c>
      <c r="D191" s="14" t="s">
        <v>36</v>
      </c>
      <c r="E191" s="14" t="s">
        <v>34</v>
      </c>
      <c r="G191" s="21" t="s">
        <v>65</v>
      </c>
      <c r="H191" s="1">
        <f>C191/C194*100</f>
        <v>45.490943755958057</v>
      </c>
      <c r="I191" s="21" t="s">
        <v>2</v>
      </c>
      <c r="J191">
        <f>C191/$U$69</f>
        <v>340.85714285714283</v>
      </c>
      <c r="L191">
        <f t="shared" si="80"/>
        <v>2150808.5714285714</v>
      </c>
    </row>
    <row r="192" spans="1:27" ht="14.25" x14ac:dyDescent="0.2">
      <c r="B192" s="14" t="s">
        <v>94</v>
      </c>
      <c r="C192" s="100">
        <v>2121</v>
      </c>
      <c r="D192" s="14" t="s">
        <v>36</v>
      </c>
      <c r="E192" s="14" t="s">
        <v>34</v>
      </c>
      <c r="G192" s="21" t="s">
        <v>106</v>
      </c>
      <c r="H192" s="1">
        <f>C193/C194*100</f>
        <v>1.3155386081982841</v>
      </c>
      <c r="I192" s="21" t="s">
        <v>2</v>
      </c>
      <c r="J192">
        <f>C193/$U$69</f>
        <v>9.8571428571428577</v>
      </c>
      <c r="L192">
        <f t="shared" si="80"/>
        <v>62198.571428571435</v>
      </c>
    </row>
    <row r="193" spans="1:27" ht="15" thickBot="1" x14ac:dyDescent="0.25">
      <c r="B193" s="14" t="s">
        <v>106</v>
      </c>
      <c r="C193" s="101">
        <v>69</v>
      </c>
      <c r="D193" s="14" t="s">
        <v>36</v>
      </c>
      <c r="E193" s="14" t="s">
        <v>34</v>
      </c>
      <c r="G193" s="21" t="s">
        <v>82</v>
      </c>
      <c r="H193" s="1">
        <f>C190/C194*100</f>
        <v>3.2602478551000948</v>
      </c>
      <c r="I193" s="21" t="s">
        <v>2</v>
      </c>
      <c r="J193">
        <f>C190/$U$69</f>
        <v>24.428571428571427</v>
      </c>
      <c r="L193">
        <f t="shared" si="80"/>
        <v>154144.28571428571</v>
      </c>
      <c r="P193" s="4"/>
      <c r="Q193" s="4"/>
    </row>
    <row r="194" spans="1:27" s="4" customFormat="1" ht="15.75" thickTop="1" thickBot="1" x14ac:dyDescent="0.25">
      <c r="A194"/>
      <c r="B194" s="22"/>
      <c r="C194" s="15">
        <f>SUM(C188:C193)</f>
        <v>5245</v>
      </c>
      <c r="D194" s="22"/>
      <c r="E194" s="22"/>
      <c r="H194" s="16">
        <f>SUM(H188:H193)</f>
        <v>99.999999999999986</v>
      </c>
      <c r="L194"/>
      <c r="P194"/>
      <c r="Q194"/>
      <c r="R194" s="16"/>
      <c r="S194"/>
      <c r="T194"/>
      <c r="U194"/>
      <c r="V194"/>
      <c r="W194"/>
      <c r="X194"/>
      <c r="Y194"/>
      <c r="Z194"/>
      <c r="AA194"/>
    </row>
    <row r="195" spans="1:27" ht="15" thickTop="1" x14ac:dyDescent="0.2">
      <c r="A195" s="4"/>
      <c r="B195" s="14" t="s">
        <v>63</v>
      </c>
      <c r="C195" s="99">
        <v>923</v>
      </c>
      <c r="D195" s="14" t="s">
        <v>37</v>
      </c>
      <c r="E195" s="14" t="s">
        <v>34</v>
      </c>
      <c r="G195" s="20" t="s">
        <v>62</v>
      </c>
      <c r="H195" s="1">
        <f>C199/C201*100</f>
        <v>61.523569023569024</v>
      </c>
      <c r="I195" s="21" t="s">
        <v>2</v>
      </c>
      <c r="J195">
        <f>C199/$U$67</f>
        <v>442.969696969697</v>
      </c>
      <c r="L195">
        <f>J195*10*$S$67</f>
        <v>71601621.818181828</v>
      </c>
      <c r="W195" s="4"/>
      <c r="Y195" s="4"/>
      <c r="Z195" s="4"/>
      <c r="AA195" s="4"/>
    </row>
    <row r="196" spans="1:27" ht="14.25" x14ac:dyDescent="0.2">
      <c r="B196" s="14" t="s">
        <v>64</v>
      </c>
      <c r="C196" s="100">
        <v>523</v>
      </c>
      <c r="D196" s="14" t="s">
        <v>37</v>
      </c>
      <c r="E196" s="14" t="s">
        <v>34</v>
      </c>
      <c r="G196" s="20" t="s">
        <v>63</v>
      </c>
      <c r="H196" s="1">
        <f>C195/C201*100</f>
        <v>3.8846801346801345</v>
      </c>
      <c r="I196" s="21" t="s">
        <v>2</v>
      </c>
      <c r="J196">
        <f>C195/$U$67</f>
        <v>27.969696969696969</v>
      </c>
      <c r="L196">
        <f t="shared" ref="L196:L200" si="81">J196*10*$S$67</f>
        <v>4521021.8181818184</v>
      </c>
      <c r="U196" s="4"/>
      <c r="V196" s="4"/>
      <c r="X196" s="4"/>
    </row>
    <row r="197" spans="1:27" ht="14.25" x14ac:dyDescent="0.2">
      <c r="B197" s="14" t="s">
        <v>82</v>
      </c>
      <c r="C197" s="100">
        <v>2092</v>
      </c>
      <c r="D197" s="14" t="s">
        <v>37</v>
      </c>
      <c r="E197" s="14" t="s">
        <v>34</v>
      </c>
      <c r="G197" s="20" t="s">
        <v>76</v>
      </c>
      <c r="H197" s="1">
        <f>C196/C201*100</f>
        <v>2.2011784511784511</v>
      </c>
      <c r="I197" s="21" t="s">
        <v>2</v>
      </c>
      <c r="J197">
        <f>C196/$U$67</f>
        <v>15.848484848484848</v>
      </c>
      <c r="L197">
        <f t="shared" si="81"/>
        <v>2561749.0909090908</v>
      </c>
      <c r="S197" s="4"/>
      <c r="T197" s="4"/>
    </row>
    <row r="198" spans="1:27" ht="14.25" x14ac:dyDescent="0.2">
      <c r="B198" s="14" t="s">
        <v>65</v>
      </c>
      <c r="C198" s="100">
        <v>5566</v>
      </c>
      <c r="D198" s="14" t="s">
        <v>37</v>
      </c>
      <c r="E198" s="14" t="s">
        <v>34</v>
      </c>
      <c r="G198" s="21" t="s">
        <v>65</v>
      </c>
      <c r="H198" s="1">
        <f>C198/C201*100</f>
        <v>23.425925925925924</v>
      </c>
      <c r="I198" s="21" t="s">
        <v>2</v>
      </c>
      <c r="J198">
        <f>C198/$U$67</f>
        <v>168.66666666666666</v>
      </c>
      <c r="L198">
        <f t="shared" si="81"/>
        <v>27263279.999999996</v>
      </c>
    </row>
    <row r="199" spans="1:27" ht="14.25" x14ac:dyDescent="0.2">
      <c r="B199" s="14" t="s">
        <v>94</v>
      </c>
      <c r="C199" s="100">
        <v>14618</v>
      </c>
      <c r="D199" s="14" t="s">
        <v>37</v>
      </c>
      <c r="E199" s="14" t="s">
        <v>34</v>
      </c>
      <c r="G199" s="21" t="s">
        <v>106</v>
      </c>
      <c r="H199" s="1">
        <f>C200/C201*100</f>
        <v>0.15993265993265993</v>
      </c>
      <c r="I199" s="21" t="s">
        <v>2</v>
      </c>
      <c r="J199">
        <f>C200/$U$67</f>
        <v>1.1515151515151516</v>
      </c>
      <c r="L199">
        <f>J199*10*$S$67</f>
        <v>186130.90909090909</v>
      </c>
    </row>
    <row r="200" spans="1:27" ht="15" thickBot="1" x14ac:dyDescent="0.25">
      <c r="B200" s="14" t="s">
        <v>106</v>
      </c>
      <c r="C200" s="101">
        <v>38</v>
      </c>
      <c r="D200" s="14" t="s">
        <v>37</v>
      </c>
      <c r="E200" s="14" t="s">
        <v>34</v>
      </c>
      <c r="G200" s="21" t="s">
        <v>82</v>
      </c>
      <c r="H200" s="1">
        <f>C197/C201*100</f>
        <v>8.8047138047138045</v>
      </c>
      <c r="I200" s="21" t="s">
        <v>2</v>
      </c>
      <c r="J200">
        <f>C197/$U$67</f>
        <v>63.393939393939391</v>
      </c>
      <c r="L200">
        <f t="shared" si="81"/>
        <v>10246996.363636363</v>
      </c>
      <c r="P200" s="4"/>
      <c r="Q200" s="4"/>
    </row>
    <row r="201" spans="1:27" ht="15.75" thickTop="1" thickBot="1" x14ac:dyDescent="0.25">
      <c r="B201" s="22"/>
      <c r="C201" s="15">
        <f>SUM(C195:C200)</f>
        <v>23760</v>
      </c>
      <c r="D201" s="22"/>
      <c r="E201" s="22"/>
      <c r="F201" s="4"/>
      <c r="G201" s="4"/>
      <c r="H201" s="16">
        <f>SUM(H195:H200)</f>
        <v>100</v>
      </c>
      <c r="I201" s="4"/>
      <c r="J201" s="4"/>
      <c r="K201" s="4"/>
      <c r="M201" s="4"/>
      <c r="N201" s="4"/>
      <c r="O201" s="4"/>
      <c r="R201" s="16"/>
    </row>
    <row r="202" spans="1:27" ht="15" thickTop="1" x14ac:dyDescent="0.2">
      <c r="B202" s="14" t="s">
        <v>63</v>
      </c>
      <c r="C202" s="99">
        <v>171</v>
      </c>
      <c r="D202" s="14" t="s">
        <v>31</v>
      </c>
      <c r="E202" s="14" t="s">
        <v>34</v>
      </c>
      <c r="G202" s="20" t="s">
        <v>62</v>
      </c>
      <c r="H202" s="1">
        <f>C206/C208*100</f>
        <v>66.364394413174892</v>
      </c>
      <c r="I202" s="21" t="s">
        <v>2</v>
      </c>
      <c r="J202">
        <f>C206/$U$68</f>
        <v>126.49668874172185</v>
      </c>
      <c r="L202">
        <f>J202*10*$S$68</f>
        <v>25153866.55629139</v>
      </c>
      <c r="W202" s="4"/>
    </row>
    <row r="203" spans="1:27" ht="14.25" x14ac:dyDescent="0.2">
      <c r="B203" s="14" t="s">
        <v>64</v>
      </c>
      <c r="C203" s="100">
        <v>726</v>
      </c>
      <c r="D203" s="14" t="s">
        <v>31</v>
      </c>
      <c r="E203" s="14" t="s">
        <v>34</v>
      </c>
      <c r="G203" s="20" t="s">
        <v>63</v>
      </c>
      <c r="H203" s="1">
        <f>C202/C208*100</f>
        <v>0.59412132582864297</v>
      </c>
      <c r="I203" s="21" t="s">
        <v>2</v>
      </c>
      <c r="J203">
        <f>C202/$U$68</f>
        <v>1.1324503311258278</v>
      </c>
      <c r="L203">
        <f t="shared" ref="L203:L207" si="82">J203*10*$S$68</f>
        <v>225187.74834437086</v>
      </c>
      <c r="U203" s="4"/>
      <c r="V203" s="4"/>
      <c r="X203" s="4"/>
    </row>
    <row r="204" spans="1:27" ht="14.25" x14ac:dyDescent="0.2">
      <c r="B204" s="14" t="s">
        <v>82</v>
      </c>
      <c r="C204" s="100">
        <v>6380</v>
      </c>
      <c r="D204" s="14" t="s">
        <v>31</v>
      </c>
      <c r="E204" s="14" t="s">
        <v>34</v>
      </c>
      <c r="G204" s="20" t="s">
        <v>76</v>
      </c>
      <c r="H204" s="1">
        <f>C203/C208*100</f>
        <v>2.5224098394830103</v>
      </c>
      <c r="I204" s="21" t="s">
        <v>2</v>
      </c>
      <c r="J204">
        <f>C203/$U$68</f>
        <v>4.8079470198675498</v>
      </c>
      <c r="L204">
        <f t="shared" si="82"/>
        <v>956060.26490066224</v>
      </c>
      <c r="S204" s="4"/>
      <c r="T204" s="4"/>
    </row>
    <row r="205" spans="1:27" ht="14.25" x14ac:dyDescent="0.2">
      <c r="B205" s="14" t="s">
        <v>65</v>
      </c>
      <c r="C205" s="100">
        <v>2092</v>
      </c>
      <c r="D205" s="14" t="s">
        <v>31</v>
      </c>
      <c r="E205" s="14" t="s">
        <v>34</v>
      </c>
      <c r="G205" s="21" t="s">
        <v>65</v>
      </c>
      <c r="H205" s="1">
        <f>C205/C208*100</f>
        <v>7.2684316586755617</v>
      </c>
      <c r="I205" s="21" t="s">
        <v>2</v>
      </c>
      <c r="J205">
        <f>C205/$U$68</f>
        <v>13.85430463576159</v>
      </c>
      <c r="L205">
        <f t="shared" si="82"/>
        <v>2754928.4768211925</v>
      </c>
    </row>
    <row r="206" spans="1:27" ht="14.25" x14ac:dyDescent="0.2">
      <c r="B206" s="14" t="s">
        <v>94</v>
      </c>
      <c r="C206" s="100">
        <v>19101</v>
      </c>
      <c r="D206" s="14" t="s">
        <v>31</v>
      </c>
      <c r="E206" s="14" t="s">
        <v>34</v>
      </c>
      <c r="G206" s="21" t="s">
        <v>106</v>
      </c>
      <c r="H206" s="1">
        <f>C207/C208*100</f>
        <v>1.084010840108401</v>
      </c>
      <c r="I206" s="21" t="s">
        <v>2</v>
      </c>
      <c r="J206">
        <f>C207/$U$68</f>
        <v>2.0662251655629138</v>
      </c>
      <c r="L206">
        <f t="shared" si="82"/>
        <v>410868.87417218543</v>
      </c>
    </row>
    <row r="207" spans="1:27" ht="15" thickBot="1" x14ac:dyDescent="0.25">
      <c r="B207" s="21" t="s">
        <v>106</v>
      </c>
      <c r="C207" s="101">
        <v>312</v>
      </c>
      <c r="D207" s="21" t="s">
        <v>31</v>
      </c>
      <c r="E207" s="21" t="s">
        <v>34</v>
      </c>
      <c r="G207" s="21" t="s">
        <v>82</v>
      </c>
      <c r="H207" s="1">
        <f>C204/C208*100</f>
        <v>22.166631922729486</v>
      </c>
      <c r="I207" s="21" t="s">
        <v>2</v>
      </c>
      <c r="J207">
        <f>C204/$U$68</f>
        <v>42.251655629139073</v>
      </c>
      <c r="L207">
        <f t="shared" si="82"/>
        <v>8401741.7218543049</v>
      </c>
      <c r="P207" s="4"/>
      <c r="Q207" s="4"/>
    </row>
    <row r="208" spans="1:27" ht="15" thickTop="1" x14ac:dyDescent="0.2">
      <c r="B208" s="4"/>
      <c r="C208" s="15">
        <f>SUM(C202:C207)</f>
        <v>28782</v>
      </c>
      <c r="D208" s="4"/>
      <c r="E208" s="4"/>
      <c r="F208" s="4"/>
      <c r="G208" s="4"/>
      <c r="H208" s="16">
        <f>SUM(H202:H207)</f>
        <v>100</v>
      </c>
      <c r="I208" s="4"/>
      <c r="J208" s="4"/>
      <c r="K208" s="4"/>
      <c r="L208" s="4"/>
      <c r="M208" s="4"/>
      <c r="N208" s="4"/>
      <c r="O208" s="4"/>
    </row>
    <row r="210" spans="6:17" x14ac:dyDescent="0.2">
      <c r="F210" t="s">
        <v>13</v>
      </c>
      <c r="G210" t="s">
        <v>62</v>
      </c>
      <c r="H210" s="126">
        <f t="shared" ref="H210:H215" si="83">P181</f>
        <v>61.076597781504347</v>
      </c>
      <c r="I210" t="s">
        <v>2</v>
      </c>
    </row>
    <row r="211" spans="6:17" x14ac:dyDescent="0.2">
      <c r="G211" t="s">
        <v>63</v>
      </c>
      <c r="H211" s="127">
        <f t="shared" si="83"/>
        <v>2.9535731425166882</v>
      </c>
      <c r="I211" t="s">
        <v>2</v>
      </c>
    </row>
    <row r="212" spans="6:17" x14ac:dyDescent="0.2">
      <c r="G212" t="s">
        <v>76</v>
      </c>
      <c r="H212" s="127">
        <f t="shared" si="83"/>
        <v>2.895569760355964</v>
      </c>
      <c r="I212" t="s">
        <v>2</v>
      </c>
    </row>
    <row r="213" spans="6:17" x14ac:dyDescent="0.2">
      <c r="G213" t="s">
        <v>65</v>
      </c>
      <c r="H213" s="127">
        <f t="shared" si="83"/>
        <v>20.846115369684046</v>
      </c>
      <c r="I213" t="s">
        <v>2</v>
      </c>
    </row>
    <row r="214" spans="6:17" x14ac:dyDescent="0.2">
      <c r="G214" t="s">
        <v>106</v>
      </c>
      <c r="H214" s="127">
        <f t="shared" si="83"/>
        <v>0.51026444835174956</v>
      </c>
      <c r="I214" t="s">
        <v>2</v>
      </c>
      <c r="P214" s="4"/>
      <c r="Q214" s="4"/>
    </row>
    <row r="215" spans="6:17" x14ac:dyDescent="0.2">
      <c r="G215" t="s">
        <v>82</v>
      </c>
      <c r="H215" s="128">
        <f t="shared" si="83"/>
        <v>11.717879497587189</v>
      </c>
      <c r="I215" t="s">
        <v>2</v>
      </c>
    </row>
    <row r="217" spans="6:17" x14ac:dyDescent="0.2">
      <c r="H217" s="1">
        <f>SUM(H210:H215)</f>
        <v>99.999999999999986</v>
      </c>
    </row>
  </sheetData>
  <sortState ref="B158:E177">
    <sortCondition ref="D158:D177"/>
  </sortState>
  <mergeCells count="5">
    <mergeCell ref="AP5:AQ5"/>
    <mergeCell ref="G25:G29"/>
    <mergeCell ref="H28:K28"/>
    <mergeCell ref="V5:W5"/>
    <mergeCell ref="AF5:A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D87"/>
  </sheetPr>
  <dimension ref="B2:AR203"/>
  <sheetViews>
    <sheetView topLeftCell="AB24" workbookViewId="0">
      <selection activeCell="AQ52" sqref="AQ52"/>
    </sheetView>
  </sheetViews>
  <sheetFormatPr defaultRowHeight="12.75" x14ac:dyDescent="0.2"/>
  <cols>
    <col min="2" max="2" width="19.85546875" customWidth="1"/>
    <col min="4" max="4" width="24" customWidth="1"/>
    <col min="5" max="5" width="13.28515625" customWidth="1"/>
    <col min="6" max="6" width="14.28515625" customWidth="1"/>
    <col min="7" max="7" width="11.42578125" customWidth="1"/>
    <col min="8" max="8" width="9.140625" style="1"/>
    <col min="17" max="17" width="30.28515625" bestFit="1" customWidth="1"/>
    <col min="18" max="18" width="9.140625" style="1"/>
    <col min="19" max="19" width="20.42578125" bestFit="1" customWidth="1"/>
    <col min="26" max="26" width="8.7109375" customWidth="1"/>
    <col min="27" max="27" width="30.28515625" bestFit="1" customWidth="1"/>
    <col min="29" max="29" width="16.28515625" customWidth="1"/>
    <col min="36" max="36" width="7.5703125" customWidth="1"/>
    <col min="37" max="37" width="30.28515625" bestFit="1" customWidth="1"/>
    <col min="39" max="39" width="15.7109375" customWidth="1"/>
  </cols>
  <sheetData>
    <row r="2" spans="2:44" x14ac:dyDescent="0.2">
      <c r="E2" s="53"/>
    </row>
    <row r="3" spans="2:44" ht="20.25" x14ac:dyDescent="0.3">
      <c r="B3" s="23" t="s">
        <v>102</v>
      </c>
      <c r="C3" s="23"/>
      <c r="D3" s="23"/>
      <c r="L3" s="24" t="s">
        <v>103</v>
      </c>
      <c r="P3" s="23" t="s">
        <v>15</v>
      </c>
    </row>
    <row r="5" spans="2:44" x14ac:dyDescent="0.2">
      <c r="P5" s="25">
        <v>2020</v>
      </c>
      <c r="Q5" s="25"/>
      <c r="R5" s="26"/>
      <c r="S5" s="25"/>
      <c r="T5" s="25"/>
      <c r="U5" s="25"/>
      <c r="V5" s="306" t="s">
        <v>95</v>
      </c>
      <c r="W5" s="306"/>
      <c r="X5" s="25"/>
      <c r="Z5" s="25">
        <v>2025</v>
      </c>
      <c r="AA5" s="25"/>
      <c r="AB5" s="26"/>
      <c r="AC5" s="25"/>
      <c r="AD5" s="25"/>
      <c r="AE5" s="25"/>
      <c r="AF5" s="306" t="s">
        <v>95</v>
      </c>
      <c r="AG5" s="306"/>
      <c r="AH5" s="25"/>
      <c r="AJ5" s="25">
        <v>2030</v>
      </c>
      <c r="AK5" s="25"/>
      <c r="AL5" s="26"/>
      <c r="AM5" s="25"/>
      <c r="AN5" s="25"/>
      <c r="AO5" s="25"/>
      <c r="AP5" s="306" t="s">
        <v>95</v>
      </c>
      <c r="AQ5" s="306"/>
      <c r="AR5" s="25"/>
    </row>
    <row r="6" spans="2:44" x14ac:dyDescent="0.2">
      <c r="B6" s="84" t="s">
        <v>0</v>
      </c>
      <c r="C6" s="1"/>
      <c r="E6" s="54"/>
      <c r="J6" s="2"/>
      <c r="P6" s="25"/>
      <c r="Q6" s="25"/>
      <c r="R6" s="26"/>
      <c r="S6" s="25"/>
      <c r="T6" s="25"/>
      <c r="U6" s="25"/>
      <c r="V6" s="26"/>
      <c r="W6" s="25"/>
      <c r="X6" s="25"/>
      <c r="Z6" s="25"/>
      <c r="AA6" s="25"/>
      <c r="AB6" s="26"/>
      <c r="AC6" s="25"/>
      <c r="AD6" s="25"/>
      <c r="AE6" s="25"/>
      <c r="AF6" s="26"/>
      <c r="AG6" s="25"/>
      <c r="AH6" s="25"/>
      <c r="AJ6" s="25"/>
      <c r="AK6" s="25"/>
      <c r="AL6" s="26"/>
      <c r="AM6" s="25"/>
      <c r="AN6" s="25"/>
      <c r="AO6" s="25"/>
      <c r="AP6" s="26"/>
      <c r="AQ6" s="25"/>
      <c r="AR6" s="25"/>
    </row>
    <row r="7" spans="2:44" x14ac:dyDescent="0.2">
      <c r="B7" t="str">
        <f>'option 1 full implementation'!B7</f>
        <v>as in BAU</v>
      </c>
      <c r="P7" s="25"/>
      <c r="Q7" s="27" t="s">
        <v>16</v>
      </c>
      <c r="R7" s="28">
        <v>100</v>
      </c>
      <c r="S7" s="25"/>
      <c r="T7" s="25"/>
      <c r="U7" s="25"/>
      <c r="V7" s="25"/>
      <c r="W7" s="25"/>
      <c r="X7" s="25"/>
      <c r="Z7" s="25"/>
      <c r="AA7" s="27" t="s">
        <v>16</v>
      </c>
      <c r="AB7" s="28">
        <v>100</v>
      </c>
      <c r="AC7" s="25"/>
      <c r="AD7" s="25"/>
      <c r="AE7" s="25"/>
      <c r="AF7" s="25"/>
      <c r="AG7" s="25"/>
      <c r="AH7" s="25"/>
      <c r="AJ7" s="25"/>
      <c r="AK7" s="27" t="s">
        <v>16</v>
      </c>
      <c r="AL7" s="28">
        <v>100</v>
      </c>
      <c r="AM7" s="25"/>
      <c r="AN7" s="25"/>
      <c r="AO7" s="25"/>
      <c r="AP7" s="25"/>
      <c r="AQ7" s="25"/>
      <c r="AR7" s="25"/>
    </row>
    <row r="8" spans="2:44" x14ac:dyDescent="0.2">
      <c r="B8" t="str">
        <f>'option 1 full implementation'!B8</f>
        <v>increase 2015-2020</v>
      </c>
      <c r="C8" s="2">
        <f>'option 1 full implementation'!C8</f>
        <v>2.8975042901448815</v>
      </c>
      <c r="D8" t="s">
        <v>2</v>
      </c>
      <c r="H8"/>
      <c r="P8" s="27"/>
      <c r="Q8" s="27" t="s">
        <v>17</v>
      </c>
      <c r="R8" s="28">
        <f>R7*C25</f>
        <v>78.366280390281759</v>
      </c>
      <c r="S8" s="25"/>
      <c r="T8" s="25"/>
      <c r="U8" s="25"/>
      <c r="V8" s="25"/>
      <c r="W8" s="25"/>
      <c r="X8" s="25"/>
      <c r="Z8" s="27"/>
      <c r="AA8" s="27" t="s">
        <v>17</v>
      </c>
      <c r="AB8" s="28">
        <f>R8</f>
        <v>78.366280390281759</v>
      </c>
      <c r="AC8" s="25"/>
      <c r="AD8" s="25"/>
      <c r="AE8" s="25"/>
      <c r="AF8" s="25"/>
      <c r="AG8" s="25"/>
      <c r="AH8" s="25"/>
      <c r="AJ8" s="27"/>
      <c r="AK8" s="27" t="s">
        <v>17</v>
      </c>
      <c r="AL8" s="28">
        <f>AB8</f>
        <v>78.366280390281759</v>
      </c>
      <c r="AM8" s="25"/>
      <c r="AN8" s="25"/>
      <c r="AO8" s="25"/>
      <c r="AP8" s="25"/>
      <c r="AQ8" s="25"/>
      <c r="AR8" s="25"/>
    </row>
    <row r="9" spans="2:44" x14ac:dyDescent="0.2">
      <c r="B9" t="str">
        <f>'option 1 full implementation'!B9</f>
        <v>increase 2015-2025</v>
      </c>
      <c r="C9" s="2">
        <f>'option 1 full implementation'!C9</f>
        <v>5.1828712412524975</v>
      </c>
      <c r="D9" t="s">
        <v>2</v>
      </c>
      <c r="E9" s="1"/>
      <c r="F9" s="1"/>
      <c r="G9" s="1"/>
      <c r="I9" s="1"/>
      <c r="J9" s="1"/>
      <c r="K9" s="1"/>
      <c r="P9" s="27"/>
      <c r="Q9" s="27" t="s">
        <v>19</v>
      </c>
      <c r="R9" s="28">
        <f>R7*C26</f>
        <v>21.633719609718238</v>
      </c>
      <c r="S9" s="25"/>
      <c r="T9" s="25"/>
      <c r="U9" s="25"/>
      <c r="V9" s="26"/>
      <c r="W9" s="25"/>
      <c r="X9" s="25"/>
      <c r="Z9" s="27"/>
      <c r="AA9" s="27" t="s">
        <v>19</v>
      </c>
      <c r="AB9" s="28">
        <f>R9</f>
        <v>21.633719609718238</v>
      </c>
      <c r="AC9" s="25"/>
      <c r="AD9" s="25"/>
      <c r="AE9" s="25"/>
      <c r="AF9" s="26"/>
      <c r="AG9" s="25"/>
      <c r="AH9" s="25"/>
      <c r="AJ9" s="27"/>
      <c r="AK9" s="27" t="s">
        <v>19</v>
      </c>
      <c r="AL9" s="28">
        <f>AB9</f>
        <v>21.633719609718238</v>
      </c>
      <c r="AM9" s="25"/>
      <c r="AN9" s="25"/>
      <c r="AO9" s="25"/>
      <c r="AP9" s="26"/>
      <c r="AQ9" s="25"/>
      <c r="AR9" s="25"/>
    </row>
    <row r="10" spans="2:44" x14ac:dyDescent="0.2">
      <c r="B10" t="str">
        <f>'option 1 full implementation'!B10</f>
        <v>increase 2015-2030</v>
      </c>
      <c r="C10" s="2">
        <f>'option 1 full implementation'!C10</f>
        <v>6.7064492086575767</v>
      </c>
      <c r="D10" t="s">
        <v>2</v>
      </c>
      <c r="P10" s="25"/>
      <c r="Q10" s="25"/>
      <c r="R10" s="26"/>
      <c r="S10" s="25"/>
      <c r="T10" s="25"/>
      <c r="U10" s="25"/>
      <c r="V10" s="26"/>
      <c r="W10" s="25"/>
      <c r="X10" s="25"/>
      <c r="Z10" s="25"/>
      <c r="AA10" s="25"/>
      <c r="AB10" s="26"/>
      <c r="AC10" s="25"/>
      <c r="AD10" s="25"/>
      <c r="AE10" s="25"/>
      <c r="AF10" s="26"/>
      <c r="AG10" s="25"/>
      <c r="AH10" s="25"/>
      <c r="AJ10" s="25"/>
      <c r="AK10" s="25"/>
      <c r="AL10" s="26"/>
      <c r="AM10" s="25"/>
      <c r="AN10" s="25"/>
      <c r="AO10" s="25"/>
      <c r="AP10" s="26"/>
      <c r="AQ10" s="25"/>
      <c r="AR10" s="25"/>
    </row>
    <row r="11" spans="2:44" x14ac:dyDescent="0.2">
      <c r="P11" s="25"/>
      <c r="Q11" s="27" t="s">
        <v>18</v>
      </c>
      <c r="R11" s="28">
        <f>R8+R8*C8/100</f>
        <v>80.63694672661714</v>
      </c>
      <c r="S11" s="27"/>
      <c r="T11" s="26"/>
      <c r="U11" s="25"/>
      <c r="V11" s="25"/>
      <c r="W11" s="25"/>
      <c r="X11" s="25"/>
      <c r="Z11" s="25"/>
      <c r="AA11" s="27" t="s">
        <v>171</v>
      </c>
      <c r="AB11" s="28">
        <f>AB8+AB8*C9/100</f>
        <v>82.427903799468965</v>
      </c>
      <c r="AC11" s="27"/>
      <c r="AD11" s="26"/>
      <c r="AE11" s="25"/>
      <c r="AF11" s="25"/>
      <c r="AG11" s="25"/>
      <c r="AH11" s="25"/>
      <c r="AJ11" s="25"/>
      <c r="AK11" s="27" t="s">
        <v>146</v>
      </c>
      <c r="AL11" s="28">
        <f>AL8+AL8*C10/100</f>
        <v>83.621875181370186</v>
      </c>
      <c r="AM11" s="27"/>
      <c r="AN11" s="26"/>
      <c r="AO11" s="25"/>
      <c r="AP11" s="25"/>
      <c r="AQ11" s="25"/>
      <c r="AR11" s="25"/>
    </row>
    <row r="12" spans="2:44" x14ac:dyDescent="0.2">
      <c r="H12" s="2"/>
      <c r="P12" s="25"/>
      <c r="Q12" s="27" t="s">
        <v>20</v>
      </c>
      <c r="R12" s="28">
        <f>R9+R9*C16/100</f>
        <v>23.761096188566889</v>
      </c>
      <c r="S12" s="27"/>
      <c r="T12" s="26"/>
      <c r="U12" s="25"/>
      <c r="V12" s="25"/>
      <c r="W12" s="25"/>
      <c r="X12" s="25"/>
      <c r="Z12" s="25"/>
      <c r="AA12" s="27" t="s">
        <v>172</v>
      </c>
      <c r="AB12" s="28">
        <f>AB9+AB9*C17/100</f>
        <v>26.097670778200566</v>
      </c>
      <c r="AC12" s="27"/>
      <c r="AD12" s="26"/>
      <c r="AE12" s="25"/>
      <c r="AF12" s="25"/>
      <c r="AG12" s="25"/>
      <c r="AH12" s="25"/>
      <c r="AJ12" s="25"/>
      <c r="AK12" s="27" t="s">
        <v>147</v>
      </c>
      <c r="AL12" s="28">
        <f>AL9+AL9*C18/100</f>
        <v>28.664015104448865</v>
      </c>
      <c r="AM12" s="27"/>
      <c r="AN12" s="26"/>
      <c r="AO12" s="25"/>
      <c r="AP12" s="25"/>
      <c r="AQ12" s="25"/>
      <c r="AR12" s="25"/>
    </row>
    <row r="13" spans="2:44" x14ac:dyDescent="0.2">
      <c r="P13" s="25"/>
      <c r="Q13" s="27" t="s">
        <v>98</v>
      </c>
      <c r="R13" s="28">
        <f>SUM(R11:R12)</f>
        <v>104.39804291518402</v>
      </c>
      <c r="S13" s="27"/>
      <c r="T13" s="26"/>
      <c r="U13" s="25"/>
      <c r="V13" s="26"/>
      <c r="W13" s="25"/>
      <c r="X13" s="25"/>
      <c r="Z13" s="25"/>
      <c r="AA13" s="27" t="s">
        <v>173</v>
      </c>
      <c r="AB13" s="28">
        <f>SUM(AB11:AB12)</f>
        <v>108.52557457766953</v>
      </c>
      <c r="AC13" s="27"/>
      <c r="AD13" s="26"/>
      <c r="AE13" s="25"/>
      <c r="AF13" s="26"/>
      <c r="AG13" s="25"/>
      <c r="AH13" s="25"/>
      <c r="AJ13" s="25"/>
      <c r="AK13" s="27" t="s">
        <v>150</v>
      </c>
      <c r="AL13" s="28">
        <f>SUM(AL11:AL12)</f>
        <v>112.28589028581905</v>
      </c>
      <c r="AM13" s="27"/>
      <c r="AN13" s="26"/>
      <c r="AO13" s="25"/>
      <c r="AP13" s="26"/>
      <c r="AQ13" s="25"/>
      <c r="AR13" s="25"/>
    </row>
    <row r="14" spans="2:44" x14ac:dyDescent="0.2">
      <c r="B14" s="84" t="s">
        <v>5</v>
      </c>
      <c r="C14" s="53"/>
      <c r="P14" s="25"/>
      <c r="Q14" s="27"/>
      <c r="R14" s="26"/>
      <c r="S14" s="27"/>
      <c r="T14" s="25"/>
      <c r="U14" s="25"/>
      <c r="V14" s="25"/>
      <c r="W14" s="25"/>
      <c r="X14" s="25"/>
      <c r="Z14" s="25"/>
      <c r="AA14" s="27"/>
      <c r="AB14" s="26"/>
      <c r="AC14" s="27"/>
      <c r="AD14" s="25"/>
      <c r="AE14" s="25"/>
      <c r="AF14" s="25"/>
      <c r="AG14" s="25"/>
      <c r="AH14" s="25"/>
      <c r="AJ14" s="25"/>
      <c r="AK14" s="27"/>
      <c r="AL14" s="26"/>
      <c r="AM14" s="27"/>
      <c r="AN14" s="25"/>
      <c r="AO14" s="25"/>
      <c r="AP14" s="25"/>
      <c r="AQ14" s="25"/>
      <c r="AR14" s="25"/>
    </row>
    <row r="15" spans="2:44" x14ac:dyDescent="0.2">
      <c r="B15" t="str">
        <f>'option 1 full implementation'!B15</f>
        <v>as in BAU</v>
      </c>
      <c r="P15" s="25"/>
      <c r="Q15" s="27" t="s">
        <v>48</v>
      </c>
      <c r="R15" s="28">
        <f>R11*I71/100</f>
        <v>49.018983027633332</v>
      </c>
      <c r="S15" s="27"/>
      <c r="T15" s="25"/>
      <c r="U15" s="25"/>
      <c r="V15" s="25"/>
      <c r="W15" s="25"/>
      <c r="X15" s="25"/>
      <c r="Z15" s="25"/>
      <c r="AA15" s="27" t="s">
        <v>48</v>
      </c>
      <c r="AB15" s="28">
        <f>AB11*I71/100</f>
        <v>50.107701015120881</v>
      </c>
      <c r="AC15" s="27"/>
      <c r="AD15" s="25"/>
      <c r="AE15" s="25"/>
      <c r="AF15" s="25"/>
      <c r="AG15" s="25"/>
      <c r="AH15" s="25"/>
      <c r="AJ15" s="25"/>
      <c r="AK15" s="27" t="s">
        <v>48</v>
      </c>
      <c r="AL15" s="28">
        <f>AL11*I71/100</f>
        <v>50.833513006779249</v>
      </c>
      <c r="AM15" s="27"/>
      <c r="AN15" s="25"/>
      <c r="AO15" s="25"/>
      <c r="AP15" s="25"/>
      <c r="AQ15" s="25"/>
      <c r="AR15" s="25"/>
    </row>
    <row r="16" spans="2:44" x14ac:dyDescent="0.2">
      <c r="B16" t="str">
        <f>'option 1 full implementation'!B16</f>
        <v>increase 2015-2020</v>
      </c>
      <c r="C16" s="2">
        <f>'option 1 full implementation'!C16</f>
        <v>9.8336144557082932</v>
      </c>
      <c r="D16" t="s">
        <v>2</v>
      </c>
      <c r="P16" s="25"/>
      <c r="Q16" s="27" t="s">
        <v>46</v>
      </c>
      <c r="R16" s="28">
        <f>R12*I72/100</f>
        <v>1.7516626527831847</v>
      </c>
      <c r="S16" s="27"/>
      <c r="T16" s="25"/>
      <c r="U16" s="25"/>
      <c r="V16" s="25"/>
      <c r="W16" s="25"/>
      <c r="X16" s="25"/>
      <c r="Z16" s="25"/>
      <c r="AA16" s="27" t="s">
        <v>46</v>
      </c>
      <c r="AB16" s="28">
        <f>AB12*I72/100</f>
        <v>1.9239144046225161</v>
      </c>
      <c r="AC16" s="27"/>
      <c r="AD16" s="25"/>
      <c r="AE16" s="25"/>
      <c r="AF16" s="25"/>
      <c r="AG16" s="25"/>
      <c r="AH16" s="25"/>
      <c r="AJ16" s="25"/>
      <c r="AK16" s="27" t="s">
        <v>46</v>
      </c>
      <c r="AL16" s="28">
        <f>AL12*I72/100</f>
        <v>2.1131047296309307</v>
      </c>
      <c r="AM16" s="27"/>
      <c r="AN16" s="25"/>
      <c r="AO16" s="25"/>
      <c r="AP16" s="25"/>
      <c r="AQ16" s="25"/>
      <c r="AR16" s="25"/>
    </row>
    <row r="17" spans="2:44" x14ac:dyDescent="0.2">
      <c r="B17" t="str">
        <f>'option 1 full implementation'!B17</f>
        <v>increase 2015-2025</v>
      </c>
      <c r="C17" s="2">
        <f>'option 1 full implementation'!C17</f>
        <v>20.634228644051781</v>
      </c>
      <c r="D17" t="s">
        <v>2</v>
      </c>
      <c r="I17" s="123"/>
      <c r="P17" s="25"/>
      <c r="Q17" s="27"/>
      <c r="R17" s="26"/>
      <c r="S17" s="27"/>
      <c r="T17" s="25"/>
      <c r="U17" s="25"/>
      <c r="V17" s="25" t="s">
        <v>100</v>
      </c>
      <c r="W17" s="25" t="s">
        <v>101</v>
      </c>
      <c r="X17" s="25"/>
      <c r="Z17" s="25"/>
      <c r="AA17" s="27"/>
      <c r="AB17" s="26"/>
      <c r="AC17" s="27"/>
      <c r="AD17" s="25"/>
      <c r="AE17" s="25"/>
      <c r="AF17" s="25" t="s">
        <v>100</v>
      </c>
      <c r="AG17" s="25" t="s">
        <v>101</v>
      </c>
      <c r="AH17" s="25"/>
      <c r="AJ17" s="25"/>
      <c r="AK17" s="27"/>
      <c r="AL17" s="26"/>
      <c r="AM17" s="27"/>
      <c r="AN17" s="25"/>
      <c r="AO17" s="25"/>
      <c r="AP17" s="25" t="s">
        <v>100</v>
      </c>
      <c r="AQ17" s="25" t="s">
        <v>101</v>
      </c>
      <c r="AR17" s="25"/>
    </row>
    <row r="18" spans="2:44" x14ac:dyDescent="0.2">
      <c r="B18" t="str">
        <f>'option 1 full implementation'!B18</f>
        <v>increase 2015-2030</v>
      </c>
      <c r="C18" s="2">
        <f>'option 1 full implementation'!C18</f>
        <v>32.496933590525494</v>
      </c>
      <c r="D18" t="s">
        <v>2</v>
      </c>
      <c r="H18"/>
      <c r="P18" s="25"/>
      <c r="Q18" s="27" t="s">
        <v>25</v>
      </c>
      <c r="R18" s="28">
        <f t="shared" ref="R18:R23" si="0">$R$11*H196/100</f>
        <v>49.250303615501892</v>
      </c>
      <c r="S18" s="27" t="s">
        <v>84</v>
      </c>
      <c r="T18" s="28">
        <f>G50</f>
        <v>3.3683912778993195</v>
      </c>
      <c r="U18" s="25" t="s">
        <v>2</v>
      </c>
      <c r="V18" s="28">
        <f>R18-R18*T18/100</f>
        <v>47.59136068417839</v>
      </c>
      <c r="W18" s="28">
        <f>IF(V18&lt;(V25+V32),V18,(V25+V32))</f>
        <v>47.59136068417839</v>
      </c>
      <c r="X18" s="25"/>
      <c r="Z18" s="25"/>
      <c r="AA18" s="27" t="s">
        <v>25</v>
      </c>
      <c r="AB18" s="28">
        <f>$AB$11*H196/100</f>
        <v>50.344159263327001</v>
      </c>
      <c r="AC18" s="27" t="s">
        <v>84</v>
      </c>
      <c r="AD18" s="28">
        <f>G50</f>
        <v>3.3683912778993195</v>
      </c>
      <c r="AE18" s="25" t="s">
        <v>2</v>
      </c>
      <c r="AF18" s="28">
        <f>AB18-AB18*AD18/100</f>
        <v>48.648370993769355</v>
      </c>
      <c r="AG18" s="28">
        <f>IF(AF18&lt;(AF25+AF32),AF18,(AF25+AF32))</f>
        <v>48.648370993769355</v>
      </c>
      <c r="AH18" s="25"/>
      <c r="AJ18" s="25"/>
      <c r="AK18" s="27" t="s">
        <v>25</v>
      </c>
      <c r="AL18" s="28">
        <f>$AL$11*H196/100</f>
        <v>51.073396361877073</v>
      </c>
      <c r="AM18" s="27" t="s">
        <v>84</v>
      </c>
      <c r="AN18" s="28">
        <f>G50</f>
        <v>3.3683912778993195</v>
      </c>
      <c r="AO18" s="25" t="s">
        <v>2</v>
      </c>
      <c r="AP18" s="28">
        <f>AL18-AL18*AN18/100</f>
        <v>49.353044533496657</v>
      </c>
      <c r="AQ18" s="28">
        <f>IF(AP18&lt;(AP25+AP32),AP18,(AP25+AP32))</f>
        <v>49.353044533496657</v>
      </c>
      <c r="AR18" s="25"/>
    </row>
    <row r="19" spans="2:44" x14ac:dyDescent="0.2">
      <c r="D19" s="2"/>
      <c r="E19" s="2"/>
      <c r="F19" s="2"/>
      <c r="G19" s="2"/>
      <c r="H19" s="2"/>
      <c r="I19" s="2"/>
      <c r="J19" s="2"/>
      <c r="K19" s="2"/>
      <c r="P19" s="25"/>
      <c r="Q19" s="27" t="s">
        <v>26</v>
      </c>
      <c r="R19" s="28">
        <f t="shared" si="0"/>
        <v>2.3816712014628534</v>
      </c>
      <c r="S19" s="27" t="s">
        <v>84</v>
      </c>
      <c r="T19" s="28">
        <f>G51</f>
        <v>49.031717839567399</v>
      </c>
      <c r="U19" s="25" t="s">
        <v>2</v>
      </c>
      <c r="V19" s="28">
        <f t="shared" ref="V19:V23" si="1">R19-R19*T19/100</f>
        <v>1.2138968980953522</v>
      </c>
      <c r="W19" s="28">
        <f>IF(V19&lt;(V26+V33),V19,(V26+V33))</f>
        <v>1.2138968980953522</v>
      </c>
      <c r="X19" s="25"/>
      <c r="Z19" s="25"/>
      <c r="AA19" s="27" t="s">
        <v>26</v>
      </c>
      <c r="AB19" s="28">
        <f t="shared" ref="AB19:AB23" si="2">$AB$11*H197/100</f>
        <v>2.434568428560608</v>
      </c>
      <c r="AC19" s="27" t="s">
        <v>84</v>
      </c>
      <c r="AD19" s="28">
        <f t="shared" ref="AD19:AD21" si="3">G51</f>
        <v>49.031717839567399</v>
      </c>
      <c r="AE19" s="25" t="s">
        <v>2</v>
      </c>
      <c r="AF19" s="28">
        <f t="shared" ref="AF19:AF21" si="4">AB19-AB19*AD19/100</f>
        <v>1.2408577060575807</v>
      </c>
      <c r="AG19" s="28">
        <f>IF(AF19&lt;(AF26+AF33),AF19,(AF26+AF33))</f>
        <v>1.2408577060575807</v>
      </c>
      <c r="AH19" s="25"/>
      <c r="AJ19" s="25"/>
      <c r="AK19" s="27" t="s">
        <v>26</v>
      </c>
      <c r="AL19" s="28">
        <f t="shared" ref="AL19:AL23" si="5">$AL$11*H197/100</f>
        <v>2.469833246625778</v>
      </c>
      <c r="AM19" s="27" t="s">
        <v>84</v>
      </c>
      <c r="AN19" s="28">
        <f t="shared" ref="AN19:AN21" si="6">G51</f>
        <v>49.031717839567399</v>
      </c>
      <c r="AO19" s="25" t="s">
        <v>2</v>
      </c>
      <c r="AP19" s="28">
        <f t="shared" ref="AP19:AP21" si="7">AL19-AL19*AN19/100</f>
        <v>1.2588315780323998</v>
      </c>
      <c r="AQ19" s="28">
        <f>IF(AP19&lt;(AP26+AP33),AP19,(AP26+AP33))</f>
        <v>1.2588315780323998</v>
      </c>
      <c r="AR19" s="25"/>
    </row>
    <row r="20" spans="2:44" x14ac:dyDescent="0.2">
      <c r="P20" s="25"/>
      <c r="Q20" s="27" t="s">
        <v>27</v>
      </c>
      <c r="R20" s="28">
        <f t="shared" si="0"/>
        <v>2.3348990450902742</v>
      </c>
      <c r="S20" s="27" t="s">
        <v>84</v>
      </c>
      <c r="T20" s="28">
        <f>G52</f>
        <v>14.230620745310249</v>
      </c>
      <c r="U20" s="25" t="s">
        <v>2</v>
      </c>
      <c r="V20" s="28">
        <f t="shared" si="1"/>
        <v>2.0026284171976068</v>
      </c>
      <c r="W20" s="28">
        <f>IF(V20&lt;(V27+V34),V20,(V27+V34))</f>
        <v>2.0026284171976068</v>
      </c>
      <c r="X20" s="25"/>
      <c r="Z20" s="25"/>
      <c r="AA20" s="27" t="s">
        <v>27</v>
      </c>
      <c r="AB20" s="28">
        <f t="shared" si="2"/>
        <v>2.3867574565127283</v>
      </c>
      <c r="AC20" s="27" t="s">
        <v>84</v>
      </c>
      <c r="AD20" s="28">
        <f t="shared" si="3"/>
        <v>14.230620745310249</v>
      </c>
      <c r="AE20" s="25" t="s">
        <v>2</v>
      </c>
      <c r="AF20" s="28">
        <f t="shared" si="4"/>
        <v>2.0471070547659886</v>
      </c>
      <c r="AG20" s="28">
        <f>IF(AF20&lt;(AF27+AF34),AF20,(AF27+AF34))</f>
        <v>2.0471070547659886</v>
      </c>
      <c r="AH20" s="25"/>
      <c r="AJ20" s="25"/>
      <c r="AK20" s="27" t="s">
        <v>27</v>
      </c>
      <c r="AL20" s="28">
        <f t="shared" si="5"/>
        <v>2.4213297307943638</v>
      </c>
      <c r="AM20" s="27" t="s">
        <v>84</v>
      </c>
      <c r="AN20" s="28">
        <f t="shared" si="6"/>
        <v>14.230620745310249</v>
      </c>
      <c r="AO20" s="25" t="s">
        <v>2</v>
      </c>
      <c r="AP20" s="28">
        <f t="shared" si="7"/>
        <v>2.0767594798115763</v>
      </c>
      <c r="AQ20" s="28">
        <f>IF(AP20&lt;(AP27+AP34),AP20,(AP27+AP34))</f>
        <v>2.0767594798115763</v>
      </c>
      <c r="AR20" s="25"/>
    </row>
    <row r="21" spans="2:44" x14ac:dyDescent="0.2">
      <c r="P21" s="25"/>
      <c r="Q21" s="27" t="s">
        <v>28</v>
      </c>
      <c r="R21" s="28">
        <f t="shared" si="0"/>
        <v>16.809670945221271</v>
      </c>
      <c r="S21" s="27" t="s">
        <v>84</v>
      </c>
      <c r="T21" s="28">
        <f>G53</f>
        <v>29.825112357029958</v>
      </c>
      <c r="U21" s="25" t="s">
        <v>2</v>
      </c>
      <c r="V21" s="28">
        <f t="shared" si="1"/>
        <v>11.796167698962007</v>
      </c>
      <c r="W21" s="28">
        <f>IF(V21&lt;(V28+V35),V21,(V28+V35))</f>
        <v>11.796167698962007</v>
      </c>
      <c r="X21" s="25"/>
      <c r="Z21" s="25"/>
      <c r="AA21" s="27" t="s">
        <v>28</v>
      </c>
      <c r="AB21" s="28">
        <f t="shared" si="2"/>
        <v>17.183015922849478</v>
      </c>
      <c r="AC21" s="27" t="s">
        <v>84</v>
      </c>
      <c r="AD21" s="28">
        <f t="shared" si="3"/>
        <v>29.825112357029958</v>
      </c>
      <c r="AE21" s="25" t="s">
        <v>2</v>
      </c>
      <c r="AF21" s="28">
        <f t="shared" si="4"/>
        <v>12.058162117533271</v>
      </c>
      <c r="AG21" s="28">
        <f>IF(AF21&lt;(AF28+AF35),AF21,(AF28+AF35))</f>
        <v>12.058162117533271</v>
      </c>
      <c r="AH21" s="25"/>
      <c r="AJ21" s="25"/>
      <c r="AK21" s="27" t="s">
        <v>28</v>
      </c>
      <c r="AL21" s="28">
        <f t="shared" si="5"/>
        <v>17.431912574601618</v>
      </c>
      <c r="AM21" s="27" t="s">
        <v>84</v>
      </c>
      <c r="AN21" s="28">
        <f t="shared" si="6"/>
        <v>29.825112357029958</v>
      </c>
      <c r="AO21" s="25" t="s">
        <v>2</v>
      </c>
      <c r="AP21" s="28">
        <f t="shared" si="7"/>
        <v>12.232825063247452</v>
      </c>
      <c r="AQ21" s="28">
        <f>IF(AP21&lt;(AP28+AP35),AP21,(AP28+AP35))</f>
        <v>12.232825063247452</v>
      </c>
      <c r="AR21" s="25"/>
    </row>
    <row r="22" spans="2:44" x14ac:dyDescent="0.2">
      <c r="H22" s="2"/>
      <c r="P22" s="25"/>
      <c r="Q22" s="27" t="s">
        <v>107</v>
      </c>
      <c r="R22" s="28">
        <f t="shared" si="0"/>
        <v>0.41146167138226708</v>
      </c>
      <c r="S22" s="27" t="s">
        <v>84</v>
      </c>
      <c r="T22" s="28">
        <v>0</v>
      </c>
      <c r="U22" s="25" t="s">
        <v>2</v>
      </c>
      <c r="V22" s="28">
        <f>R22-R22*T22/100</f>
        <v>0.41146167138226708</v>
      </c>
      <c r="W22" s="28">
        <f>IF(V22&lt;(V29+V37),V22,(V29+V37))</f>
        <v>0.41146167138226708</v>
      </c>
      <c r="X22" s="25"/>
      <c r="Z22" s="25"/>
      <c r="AA22" s="27" t="s">
        <v>107</v>
      </c>
      <c r="AB22" s="28">
        <f t="shared" si="2"/>
        <v>0.42060028861027116</v>
      </c>
      <c r="AC22" s="27" t="s">
        <v>84</v>
      </c>
      <c r="AD22" s="28">
        <v>0</v>
      </c>
      <c r="AE22" s="25" t="s">
        <v>2</v>
      </c>
      <c r="AF22" s="28">
        <f>AB22-AB22*AD22/100</f>
        <v>0.42060028861027116</v>
      </c>
      <c r="AG22" s="28">
        <f>IF(AF22&lt;(AF29+AF37),AF22,(AF29+AF37))</f>
        <v>0.42060028861027116</v>
      </c>
      <c r="AH22" s="25"/>
      <c r="AJ22" s="25"/>
      <c r="AK22" s="27" t="s">
        <v>107</v>
      </c>
      <c r="AL22" s="28">
        <f t="shared" si="5"/>
        <v>0.42669270009560711</v>
      </c>
      <c r="AM22" s="27" t="s">
        <v>84</v>
      </c>
      <c r="AN22" s="28">
        <f>G56</f>
        <v>0</v>
      </c>
      <c r="AO22" s="25" t="s">
        <v>2</v>
      </c>
      <c r="AP22" s="28">
        <f>AL22-AL22*AN22/100</f>
        <v>0.42669270009560711</v>
      </c>
      <c r="AQ22" s="28">
        <f>IF(AP22&lt;(AP29+AP37),AP22,(AP29+AP37))</f>
        <v>0.42669270009560711</v>
      </c>
      <c r="AR22" s="25"/>
    </row>
    <row r="23" spans="2:44" x14ac:dyDescent="0.2">
      <c r="B23" s="4" t="str">
        <f>'option 1 full implementation'!B23</f>
        <v>ratio industrial / consumer ML</v>
      </c>
      <c r="P23" s="25"/>
      <c r="Q23" s="27" t="s">
        <v>29</v>
      </c>
      <c r="R23" s="28">
        <f t="shared" si="0"/>
        <v>9.4489402479585731</v>
      </c>
      <c r="S23" s="27" t="s">
        <v>84</v>
      </c>
      <c r="T23" s="28">
        <v>0</v>
      </c>
      <c r="U23" s="25" t="s">
        <v>2</v>
      </c>
      <c r="V23" s="28">
        <f t="shared" si="1"/>
        <v>9.4489402479585731</v>
      </c>
      <c r="W23" s="28">
        <f>IF(V23&lt;(V30+V37),V23,(V30+V37))</f>
        <v>9.4489402479585731</v>
      </c>
      <c r="X23" s="25"/>
      <c r="Z23" s="25"/>
      <c r="AA23" s="27" t="s">
        <v>29</v>
      </c>
      <c r="AB23" s="28">
        <f t="shared" si="2"/>
        <v>9.6588024396088663</v>
      </c>
      <c r="AC23" s="27" t="s">
        <v>84</v>
      </c>
      <c r="AD23" s="28">
        <v>0</v>
      </c>
      <c r="AE23" s="25" t="s">
        <v>2</v>
      </c>
      <c r="AF23" s="28">
        <f t="shared" ref="AF23" si="8">AB23-AB23*AD23/100</f>
        <v>9.6588024396088663</v>
      </c>
      <c r="AG23" s="28">
        <f>IF(AF23&lt;(AF30+AF37),AF23,(AF30+AF37))</f>
        <v>9.6588024396088663</v>
      </c>
      <c r="AH23" s="25"/>
      <c r="AJ23" s="25"/>
      <c r="AK23" s="27" t="s">
        <v>29</v>
      </c>
      <c r="AL23" s="28">
        <f t="shared" si="5"/>
        <v>9.7987105673757284</v>
      </c>
      <c r="AM23" s="27" t="s">
        <v>84</v>
      </c>
      <c r="AN23" s="28">
        <f>G57</f>
        <v>0</v>
      </c>
      <c r="AO23" s="25" t="s">
        <v>2</v>
      </c>
      <c r="AP23" s="28">
        <f t="shared" ref="AP23" si="9">AL23-AL23*AN23/100</f>
        <v>9.7987105673757284</v>
      </c>
      <c r="AQ23" s="28">
        <f>IF(AP23&lt;(AP30+AP37),AP23,(AP30+AP37))</f>
        <v>9.7987105673757284</v>
      </c>
      <c r="AR23" s="25"/>
    </row>
    <row r="24" spans="2:44" x14ac:dyDescent="0.2">
      <c r="B24" t="str">
        <f>'option 1 full implementation'!B24</f>
        <v>as in BAU</v>
      </c>
      <c r="P24" s="25"/>
      <c r="Q24" s="25"/>
      <c r="R24" s="26"/>
      <c r="S24" s="25"/>
      <c r="T24" s="25"/>
      <c r="U24" s="25"/>
      <c r="V24" s="25"/>
      <c r="W24" s="26"/>
      <c r="X24" s="25"/>
      <c r="Z24" s="25"/>
      <c r="AA24" s="25"/>
      <c r="AB24" s="26"/>
      <c r="AC24" s="25"/>
      <c r="AD24" s="25"/>
      <c r="AE24" s="25"/>
      <c r="AF24" s="25"/>
      <c r="AG24" s="26"/>
      <c r="AH24" s="25"/>
      <c r="AJ24" s="25"/>
      <c r="AK24" s="25"/>
      <c r="AL24" s="26"/>
      <c r="AM24" s="25"/>
      <c r="AN24" s="25"/>
      <c r="AO24" s="25"/>
      <c r="AP24" s="25"/>
      <c r="AQ24" s="26"/>
      <c r="AR24" s="25"/>
    </row>
    <row r="25" spans="2:44" x14ac:dyDescent="0.2">
      <c r="B25" t="str">
        <f>'option 1 full implementation'!B25</f>
        <v>consumer (MSW)</v>
      </c>
      <c r="C25" s="11">
        <f>'option 1 full implementation'!C25</f>
        <v>0.78366280390281762</v>
      </c>
      <c r="D25" s="79"/>
      <c r="E25" s="79"/>
      <c r="F25" s="79"/>
      <c r="G25" s="307"/>
      <c r="H25" s="80"/>
      <c r="I25" s="80"/>
      <c r="J25" s="80"/>
      <c r="K25" s="80"/>
      <c r="L25" s="79"/>
      <c r="M25" s="79"/>
      <c r="N25" s="79"/>
      <c r="P25" s="25"/>
      <c r="Q25" s="27" t="s">
        <v>38</v>
      </c>
      <c r="R25" s="28">
        <f t="shared" ref="R25:R30" si="10">$R$15*H128/100</f>
        <v>40.714176822055109</v>
      </c>
      <c r="S25" s="27" t="s">
        <v>84</v>
      </c>
      <c r="T25" s="28">
        <f>H157</f>
        <v>0</v>
      </c>
      <c r="U25" s="25" t="s">
        <v>2</v>
      </c>
      <c r="V25" s="28">
        <f>R25-T25*R25/100</f>
        <v>40.714176822055109</v>
      </c>
      <c r="W25" s="29" t="s">
        <v>97</v>
      </c>
      <c r="X25" s="25"/>
      <c r="Z25" s="25"/>
      <c r="AA25" s="27" t="s">
        <v>38</v>
      </c>
      <c r="AB25" s="28">
        <f>$AB$15*H128/100</f>
        <v>41.618443983757182</v>
      </c>
      <c r="AC25" s="27" t="s">
        <v>84</v>
      </c>
      <c r="AD25" s="28">
        <f>H157</f>
        <v>0</v>
      </c>
      <c r="AE25" s="25" t="s">
        <v>2</v>
      </c>
      <c r="AF25" s="28">
        <f>AB25-AD25*AB25/100</f>
        <v>41.618443983757182</v>
      </c>
      <c r="AG25" s="29" t="s">
        <v>97</v>
      </c>
      <c r="AH25" s="25"/>
      <c r="AJ25" s="25"/>
      <c r="AK25" s="27" t="s">
        <v>38</v>
      </c>
      <c r="AL25" s="28">
        <f>$AL$15*H128/100</f>
        <v>42.221288758225228</v>
      </c>
      <c r="AM25" s="27" t="s">
        <v>84</v>
      </c>
      <c r="AN25" s="28">
        <f>H157</f>
        <v>0</v>
      </c>
      <c r="AO25" s="25" t="s">
        <v>2</v>
      </c>
      <c r="AP25" s="28">
        <f>AL25-AN25*AL25/100</f>
        <v>42.221288758225228</v>
      </c>
      <c r="AQ25" s="29" t="s">
        <v>97</v>
      </c>
      <c r="AR25" s="25"/>
    </row>
    <row r="26" spans="2:44" x14ac:dyDescent="0.2">
      <c r="B26" t="str">
        <f>'option 1 full implementation'!B26</f>
        <v>industrial</v>
      </c>
      <c r="C26" s="11">
        <f>'option 1 full implementation'!C26</f>
        <v>0.21633719609718238</v>
      </c>
      <c r="D26" s="11"/>
      <c r="E26" s="11"/>
      <c r="F26" s="11"/>
      <c r="G26" s="307"/>
      <c r="H26" s="11"/>
      <c r="I26" s="11"/>
      <c r="J26" s="11"/>
      <c r="K26" s="11"/>
      <c r="L26" s="79"/>
      <c r="M26" s="11"/>
      <c r="N26" s="11"/>
      <c r="O26" s="11"/>
      <c r="P26" s="25"/>
      <c r="Q26" s="27" t="s">
        <v>39</v>
      </c>
      <c r="R26" s="28">
        <f t="shared" si="10"/>
        <v>2.0770514927350527</v>
      </c>
      <c r="S26" s="27" t="s">
        <v>84</v>
      </c>
      <c r="T26" s="28">
        <f>H158</f>
        <v>0</v>
      </c>
      <c r="U26" s="25" t="s">
        <v>2</v>
      </c>
      <c r="V26" s="28">
        <f t="shared" ref="V26:V30" si="11">R26-T26*R26/100</f>
        <v>2.0770514927350527</v>
      </c>
      <c r="W26" s="29" t="s">
        <v>97</v>
      </c>
      <c r="X26" s="25"/>
      <c r="Z26" s="25"/>
      <c r="AA26" s="27" t="s">
        <v>39</v>
      </c>
      <c r="AB26" s="28">
        <f t="shared" ref="AB26:AB30" si="12">$AB$15*H129/100</f>
        <v>2.1231830764891209</v>
      </c>
      <c r="AC26" s="27" t="s">
        <v>84</v>
      </c>
      <c r="AD26" s="28">
        <f>H158</f>
        <v>0</v>
      </c>
      <c r="AE26" s="25" t="s">
        <v>2</v>
      </c>
      <c r="AF26" s="28">
        <f t="shared" ref="AF26:AF30" si="13">AB26-AD26*AB26/100</f>
        <v>2.1231830764891209</v>
      </c>
      <c r="AG26" s="29" t="s">
        <v>97</v>
      </c>
      <c r="AH26" s="25"/>
      <c r="AJ26" s="25"/>
      <c r="AK26" s="27" t="s">
        <v>39</v>
      </c>
      <c r="AL26" s="28">
        <f t="shared" ref="AL26:AL30" si="14">$AL$15*H129/100</f>
        <v>2.1539374656584998</v>
      </c>
      <c r="AM26" s="27" t="s">
        <v>84</v>
      </c>
      <c r="AN26" s="28">
        <f>H158</f>
        <v>0</v>
      </c>
      <c r="AO26" s="25" t="s">
        <v>2</v>
      </c>
      <c r="AP26" s="28">
        <f t="shared" ref="AP26:AP30" si="15">AL26-AN26*AL26/100</f>
        <v>2.1539374656584998</v>
      </c>
      <c r="AQ26" s="29" t="s">
        <v>97</v>
      </c>
      <c r="AR26" s="25"/>
    </row>
    <row r="27" spans="2:44" x14ac:dyDescent="0.2">
      <c r="B27" s="124"/>
      <c r="C27" s="124"/>
      <c r="D27" s="82"/>
      <c r="E27" s="82"/>
      <c r="F27" s="82"/>
      <c r="G27" s="307"/>
      <c r="H27" s="11"/>
      <c r="I27" s="11"/>
      <c r="J27" s="11"/>
      <c r="K27" s="11"/>
      <c r="L27" s="79"/>
      <c r="M27" s="11"/>
      <c r="N27" s="11"/>
      <c r="O27" s="11"/>
      <c r="P27" s="25"/>
      <c r="Q27" s="27" t="s">
        <v>40</v>
      </c>
      <c r="R27" s="28">
        <f t="shared" si="10"/>
        <v>2.023527573928293</v>
      </c>
      <c r="S27" s="27" t="s">
        <v>84</v>
      </c>
      <c r="T27" s="28">
        <f>H159</f>
        <v>0</v>
      </c>
      <c r="U27" s="25" t="s">
        <v>2</v>
      </c>
      <c r="V27" s="28">
        <f t="shared" si="11"/>
        <v>2.023527573928293</v>
      </c>
      <c r="W27" s="29" t="s">
        <v>97</v>
      </c>
      <c r="X27" s="25"/>
      <c r="Z27" s="25"/>
      <c r="AA27" s="27" t="s">
        <v>40</v>
      </c>
      <c r="AB27" s="28">
        <f t="shared" si="12"/>
        <v>2.068470384485396</v>
      </c>
      <c r="AC27" s="27" t="s">
        <v>84</v>
      </c>
      <c r="AD27" s="28">
        <f>H159</f>
        <v>0</v>
      </c>
      <c r="AE27" s="25" t="s">
        <v>2</v>
      </c>
      <c r="AF27" s="28">
        <f t="shared" si="13"/>
        <v>2.068470384485396</v>
      </c>
      <c r="AG27" s="29" t="s">
        <v>97</v>
      </c>
      <c r="AH27" s="25"/>
      <c r="AJ27" s="25"/>
      <c r="AK27" s="27" t="s">
        <v>40</v>
      </c>
      <c r="AL27" s="28">
        <f t="shared" si="14"/>
        <v>2.0984322581901313</v>
      </c>
      <c r="AM27" s="27" t="s">
        <v>84</v>
      </c>
      <c r="AN27" s="28">
        <f>H159</f>
        <v>0</v>
      </c>
      <c r="AO27" s="25" t="s">
        <v>2</v>
      </c>
      <c r="AP27" s="28">
        <f t="shared" si="15"/>
        <v>2.0984322581901313</v>
      </c>
      <c r="AQ27" s="29" t="s">
        <v>97</v>
      </c>
      <c r="AR27" s="25"/>
    </row>
    <row r="28" spans="2:44" x14ac:dyDescent="0.2">
      <c r="B28" s="124"/>
      <c r="C28" s="124"/>
      <c r="D28" s="82"/>
      <c r="E28" s="82"/>
      <c r="F28" s="82"/>
      <c r="G28" s="307"/>
      <c r="H28" s="308"/>
      <c r="I28" s="308"/>
      <c r="J28" s="308"/>
      <c r="K28" s="308"/>
      <c r="L28" s="79"/>
      <c r="M28" s="11"/>
      <c r="N28" s="79"/>
      <c r="P28" s="25"/>
      <c r="Q28" s="27" t="s">
        <v>41</v>
      </c>
      <c r="R28" s="28">
        <f t="shared" si="10"/>
        <v>3.6641848489839943</v>
      </c>
      <c r="S28" s="27" t="s">
        <v>84</v>
      </c>
      <c r="T28" s="28">
        <f>H160</f>
        <v>0</v>
      </c>
      <c r="U28" s="25" t="s">
        <v>2</v>
      </c>
      <c r="V28" s="28">
        <f t="shared" si="11"/>
        <v>3.6641848489839943</v>
      </c>
      <c r="W28" s="29" t="s">
        <v>97</v>
      </c>
      <c r="X28" s="25"/>
      <c r="Z28" s="25"/>
      <c r="AA28" s="27" t="s">
        <v>41</v>
      </c>
      <c r="AB28" s="28">
        <f t="shared" si="12"/>
        <v>3.7455668709716674</v>
      </c>
      <c r="AC28" s="27" t="s">
        <v>84</v>
      </c>
      <c r="AD28" s="28">
        <f>H160</f>
        <v>0</v>
      </c>
      <c r="AE28" s="25" t="s">
        <v>2</v>
      </c>
      <c r="AF28" s="28">
        <f t="shared" si="13"/>
        <v>3.7455668709716674</v>
      </c>
      <c r="AG28" s="29" t="s">
        <v>97</v>
      </c>
      <c r="AH28" s="25"/>
      <c r="AJ28" s="25"/>
      <c r="AK28" s="27" t="s">
        <v>41</v>
      </c>
      <c r="AL28" s="28">
        <f t="shared" si="14"/>
        <v>3.7998215522967826</v>
      </c>
      <c r="AM28" s="27" t="s">
        <v>84</v>
      </c>
      <c r="AN28" s="28">
        <f>H160</f>
        <v>0</v>
      </c>
      <c r="AO28" s="25" t="s">
        <v>2</v>
      </c>
      <c r="AP28" s="28">
        <f t="shared" si="15"/>
        <v>3.7998215522967826</v>
      </c>
      <c r="AQ28" s="29" t="s">
        <v>97</v>
      </c>
      <c r="AR28" s="25"/>
    </row>
    <row r="29" spans="2:44" x14ac:dyDescent="0.2">
      <c r="B29" s="82"/>
      <c r="C29" s="82"/>
      <c r="D29" s="82"/>
      <c r="E29" s="82"/>
      <c r="F29" s="82"/>
      <c r="G29" s="307"/>
      <c r="H29" s="11"/>
      <c r="I29" s="11"/>
      <c r="J29" s="11"/>
      <c r="K29" s="11"/>
      <c r="L29" s="79"/>
      <c r="M29" s="75"/>
      <c r="N29" s="11"/>
      <c r="O29" s="3"/>
      <c r="P29" s="25"/>
      <c r="Q29" s="27" t="s">
        <v>105</v>
      </c>
      <c r="R29" s="28">
        <f t="shared" si="10"/>
        <v>0.35883503911995668</v>
      </c>
      <c r="S29" s="27" t="s">
        <v>84</v>
      </c>
      <c r="T29" s="28">
        <f>H161</f>
        <v>0</v>
      </c>
      <c r="U29" s="25" t="s">
        <v>2</v>
      </c>
      <c r="V29" s="28">
        <f t="shared" si="11"/>
        <v>0.35883503911995668</v>
      </c>
      <c r="W29" s="29" t="s">
        <v>97</v>
      </c>
      <c r="X29" s="25"/>
      <c r="Z29" s="25"/>
      <c r="AA29" s="27" t="s">
        <v>105</v>
      </c>
      <c r="AB29" s="28">
        <f t="shared" si="12"/>
        <v>0.36680481200183107</v>
      </c>
      <c r="AC29" s="27" t="s">
        <v>84</v>
      </c>
      <c r="AD29" s="28">
        <f>H161</f>
        <v>0</v>
      </c>
      <c r="AE29" s="25" t="s">
        <v>2</v>
      </c>
      <c r="AF29" s="28">
        <f t="shared" si="13"/>
        <v>0.36680481200183107</v>
      </c>
      <c r="AG29" s="29" t="s">
        <v>97</v>
      </c>
      <c r="AH29" s="25"/>
      <c r="AJ29" s="25"/>
      <c r="AK29" s="27" t="s">
        <v>105</v>
      </c>
      <c r="AL29" s="28">
        <f t="shared" si="14"/>
        <v>0.37211799392308076</v>
      </c>
      <c r="AM29" s="27" t="s">
        <v>84</v>
      </c>
      <c r="AN29" s="28">
        <f>H161</f>
        <v>0</v>
      </c>
      <c r="AO29" s="25" t="s">
        <v>2</v>
      </c>
      <c r="AP29" s="28">
        <f t="shared" si="15"/>
        <v>0.37211799392308076</v>
      </c>
      <c r="AQ29" s="29" t="s">
        <v>97</v>
      </c>
      <c r="AR29" s="25"/>
    </row>
    <row r="30" spans="2:44" x14ac:dyDescent="0.2">
      <c r="P30" s="25"/>
      <c r="Q30" s="27" t="s">
        <v>52</v>
      </c>
      <c r="R30" s="28">
        <f t="shared" si="10"/>
        <v>0.18120725081092665</v>
      </c>
      <c r="S30" s="27" t="s">
        <v>84</v>
      </c>
      <c r="T30" s="28">
        <v>0</v>
      </c>
      <c r="U30" s="25" t="s">
        <v>2</v>
      </c>
      <c r="V30" s="28">
        <f t="shared" si="11"/>
        <v>0.18120725081092665</v>
      </c>
      <c r="W30" s="29" t="s">
        <v>97</v>
      </c>
      <c r="X30" s="25"/>
      <c r="Z30" s="25"/>
      <c r="AA30" s="27" t="s">
        <v>52</v>
      </c>
      <c r="AB30" s="28">
        <f t="shared" si="12"/>
        <v>0.18523188741568464</v>
      </c>
      <c r="AC30" s="27" t="s">
        <v>84</v>
      </c>
      <c r="AD30" s="28">
        <v>0</v>
      </c>
      <c r="AE30" s="25" t="s">
        <v>2</v>
      </c>
      <c r="AF30" s="28">
        <f t="shared" si="13"/>
        <v>0.18523188741568464</v>
      </c>
      <c r="AG30" s="29" t="s">
        <v>97</v>
      </c>
      <c r="AH30" s="25"/>
      <c r="AJ30" s="25"/>
      <c r="AK30" s="27" t="s">
        <v>52</v>
      </c>
      <c r="AL30" s="28">
        <f t="shared" si="14"/>
        <v>0.1879149784855233</v>
      </c>
      <c r="AM30" s="27" t="s">
        <v>84</v>
      </c>
      <c r="AN30" s="28">
        <v>0</v>
      </c>
      <c r="AO30" s="25" t="s">
        <v>2</v>
      </c>
      <c r="AP30" s="28">
        <f t="shared" si="15"/>
        <v>0.1879149784855233</v>
      </c>
      <c r="AQ30" s="29" t="s">
        <v>97</v>
      </c>
      <c r="AR30" s="25"/>
    </row>
    <row r="31" spans="2:44" x14ac:dyDescent="0.2">
      <c r="P31" s="25"/>
      <c r="Q31" s="27"/>
      <c r="R31" s="26"/>
      <c r="S31" s="25"/>
      <c r="T31" s="25"/>
      <c r="U31" s="25"/>
      <c r="V31" s="26"/>
      <c r="W31" s="25"/>
      <c r="X31" s="25"/>
      <c r="Z31" s="25"/>
      <c r="AA31" s="27"/>
      <c r="AB31" s="26"/>
      <c r="AC31" s="25"/>
      <c r="AD31" s="25"/>
      <c r="AE31" s="25"/>
      <c r="AF31" s="26"/>
      <c r="AG31" s="25"/>
      <c r="AH31" s="25"/>
      <c r="AJ31" s="25"/>
      <c r="AK31" s="27"/>
      <c r="AL31" s="26"/>
      <c r="AM31" s="25"/>
      <c r="AN31" s="25"/>
      <c r="AO31" s="25"/>
      <c r="AP31" s="26"/>
      <c r="AQ31" s="25"/>
      <c r="AR31" s="25"/>
    </row>
    <row r="32" spans="2:44" x14ac:dyDescent="0.2">
      <c r="P32" s="25"/>
      <c r="Q32" s="27" t="s">
        <v>42</v>
      </c>
      <c r="R32" s="28">
        <f>R18-R25</f>
        <v>8.5361267934467833</v>
      </c>
      <c r="S32" s="27" t="s">
        <v>84</v>
      </c>
      <c r="T32" s="28">
        <f>T18</f>
        <v>3.3683912778993195</v>
      </c>
      <c r="U32" s="25" t="s">
        <v>2</v>
      </c>
      <c r="V32" s="28">
        <f>R32-T32*R32/100</f>
        <v>8.2485966430658948</v>
      </c>
      <c r="W32" s="29" t="s">
        <v>97</v>
      </c>
      <c r="X32" s="25"/>
      <c r="Z32" s="25"/>
      <c r="AA32" s="27" t="s">
        <v>42</v>
      </c>
      <c r="AB32" s="28">
        <f>AB18-AB25</f>
        <v>8.725715279569819</v>
      </c>
      <c r="AC32" s="27" t="s">
        <v>84</v>
      </c>
      <c r="AD32" s="28">
        <f>AD18</f>
        <v>3.3683912778993195</v>
      </c>
      <c r="AE32" s="25" t="s">
        <v>2</v>
      </c>
      <c r="AF32" s="28">
        <f>AB32-AD32*AB32/100</f>
        <v>8.4317990471584601</v>
      </c>
      <c r="AG32" s="29" t="s">
        <v>97</v>
      </c>
      <c r="AH32" s="25"/>
      <c r="AJ32" s="25"/>
      <c r="AK32" s="27" t="s">
        <v>42</v>
      </c>
      <c r="AL32" s="28">
        <f t="shared" ref="AL32:AL37" si="16">AL18-AL25</f>
        <v>8.8521076036518451</v>
      </c>
      <c r="AM32" s="27" t="s">
        <v>84</v>
      </c>
      <c r="AN32" s="28">
        <f>AN18</f>
        <v>3.3683912778993195</v>
      </c>
      <c r="AO32" s="25" t="s">
        <v>2</v>
      </c>
      <c r="AP32" s="28">
        <f>AL32-AN32*AL32/100</f>
        <v>8.5539339832201744</v>
      </c>
      <c r="AQ32" s="29" t="s">
        <v>97</v>
      </c>
      <c r="AR32" s="25"/>
    </row>
    <row r="33" spans="2:44" x14ac:dyDescent="0.2">
      <c r="P33" s="25"/>
      <c r="Q33" s="27" t="s">
        <v>43</v>
      </c>
      <c r="R33" s="28">
        <f t="shared" ref="R33:R37" si="17">R19-R26</f>
        <v>0.30461970872780064</v>
      </c>
      <c r="S33" s="27" t="s">
        <v>84</v>
      </c>
      <c r="T33" s="28">
        <f>T19</f>
        <v>49.031717839567399</v>
      </c>
      <c r="U33" s="25" t="s">
        <v>2</v>
      </c>
      <c r="V33" s="28">
        <f t="shared" ref="V33:V37" si="18">R33-T33*R33/100</f>
        <v>0.15525943266067338</v>
      </c>
      <c r="W33" s="29" t="s">
        <v>97</v>
      </c>
      <c r="X33" s="25"/>
      <c r="Z33" s="25"/>
      <c r="AA33" s="27" t="s">
        <v>43</v>
      </c>
      <c r="AB33" s="28">
        <f t="shared" ref="AB33:AB37" si="19">AB19-AB26</f>
        <v>0.3113853520714871</v>
      </c>
      <c r="AC33" s="27" t="s">
        <v>84</v>
      </c>
      <c r="AD33" s="28">
        <f>AD19</f>
        <v>49.031717839567399</v>
      </c>
      <c r="AE33" s="25" t="s">
        <v>2</v>
      </c>
      <c r="AF33" s="28">
        <f t="shared" ref="AF33:AF37" si="20">AB33-AD33*AB33/100</f>
        <v>0.158707764850052</v>
      </c>
      <c r="AG33" s="29" t="s">
        <v>97</v>
      </c>
      <c r="AH33" s="25"/>
      <c r="AJ33" s="25"/>
      <c r="AK33" s="27" t="s">
        <v>43</v>
      </c>
      <c r="AL33" s="28">
        <f t="shared" si="16"/>
        <v>0.31589578096727822</v>
      </c>
      <c r="AM33" s="27" t="s">
        <v>84</v>
      </c>
      <c r="AN33" s="28">
        <f>AN19</f>
        <v>49.031717839567399</v>
      </c>
      <c r="AO33" s="25" t="s">
        <v>2</v>
      </c>
      <c r="AP33" s="28">
        <f t="shared" ref="AP33:AP37" si="21">AL33-AN33*AL33/100</f>
        <v>0.16100665297630451</v>
      </c>
      <c r="AQ33" s="29" t="s">
        <v>97</v>
      </c>
      <c r="AR33" s="25"/>
    </row>
    <row r="34" spans="2:44" ht="13.5" thickBot="1" x14ac:dyDescent="0.25">
      <c r="B34" s="84" t="s">
        <v>22</v>
      </c>
      <c r="C34" s="53"/>
      <c r="D34">
        <v>2012</v>
      </c>
      <c r="E34" s="10">
        <v>24.43</v>
      </c>
      <c r="F34" t="s">
        <v>2</v>
      </c>
      <c r="P34" s="25"/>
      <c r="Q34" s="27" t="s">
        <v>44</v>
      </c>
      <c r="R34" s="28">
        <f t="shared" si="17"/>
        <v>0.31137147116198127</v>
      </c>
      <c r="S34" s="27" t="s">
        <v>84</v>
      </c>
      <c r="T34" s="28">
        <f>T20</f>
        <v>14.230620745310249</v>
      </c>
      <c r="U34" s="25" t="s">
        <v>2</v>
      </c>
      <c r="V34" s="28">
        <f t="shared" si="18"/>
        <v>0.26706137799182667</v>
      </c>
      <c r="W34" s="29" t="s">
        <v>97</v>
      </c>
      <c r="X34" s="25"/>
      <c r="Z34" s="25"/>
      <c r="AA34" s="27" t="s">
        <v>44</v>
      </c>
      <c r="AB34" s="28">
        <f t="shared" si="19"/>
        <v>0.31828707202733231</v>
      </c>
      <c r="AC34" s="27" t="s">
        <v>84</v>
      </c>
      <c r="AD34" s="28">
        <f>AD20</f>
        <v>14.230620745310249</v>
      </c>
      <c r="AE34" s="25" t="s">
        <v>2</v>
      </c>
      <c r="AF34" s="28">
        <f t="shared" si="20"/>
        <v>0.27299284592577017</v>
      </c>
      <c r="AG34" s="29" t="s">
        <v>97</v>
      </c>
      <c r="AH34" s="25"/>
      <c r="AJ34" s="25"/>
      <c r="AK34" s="27" t="s">
        <v>44</v>
      </c>
      <c r="AL34" s="28">
        <f t="shared" si="16"/>
        <v>0.32289747260423241</v>
      </c>
      <c r="AM34" s="27" t="s">
        <v>84</v>
      </c>
      <c r="AN34" s="28">
        <f>AN20</f>
        <v>14.230620745310249</v>
      </c>
      <c r="AO34" s="25" t="s">
        <v>2</v>
      </c>
      <c r="AP34" s="28">
        <f t="shared" si="21"/>
        <v>0.27694715788173202</v>
      </c>
      <c r="AQ34" s="29" t="s">
        <v>97</v>
      </c>
      <c r="AR34" s="25"/>
    </row>
    <row r="35" spans="2:44" ht="14.25" thickTop="1" thickBot="1" x14ac:dyDescent="0.25">
      <c r="D35">
        <v>2020</v>
      </c>
      <c r="E35" s="152">
        <v>50</v>
      </c>
      <c r="F35" t="s">
        <v>2</v>
      </c>
      <c r="G35" t="s">
        <v>183</v>
      </c>
      <c r="P35" s="25"/>
      <c r="Q35" s="27" t="s">
        <v>45</v>
      </c>
      <c r="R35" s="28">
        <f t="shared" si="17"/>
        <v>13.145486096237276</v>
      </c>
      <c r="S35" s="27" t="s">
        <v>84</v>
      </c>
      <c r="T35" s="28">
        <f>T21</f>
        <v>29.825112357029958</v>
      </c>
      <c r="U35" s="25" t="s">
        <v>2</v>
      </c>
      <c r="V35" s="28">
        <f t="shared" si="18"/>
        <v>9.2248300981567564</v>
      </c>
      <c r="W35" s="29" t="s">
        <v>97</v>
      </c>
      <c r="X35" s="25"/>
      <c r="Z35" s="25"/>
      <c r="AA35" s="27" t="s">
        <v>45</v>
      </c>
      <c r="AB35" s="28">
        <f t="shared" si="19"/>
        <v>13.43744905187781</v>
      </c>
      <c r="AC35" s="27" t="s">
        <v>84</v>
      </c>
      <c r="AD35" s="28">
        <f>AD21</f>
        <v>29.825112357029958</v>
      </c>
      <c r="AE35" s="25" t="s">
        <v>2</v>
      </c>
      <c r="AF35" s="28">
        <f t="shared" si="20"/>
        <v>9.4297147742365954</v>
      </c>
      <c r="AG35" s="29" t="s">
        <v>97</v>
      </c>
      <c r="AH35" s="25"/>
      <c r="AJ35" s="25"/>
      <c r="AK35" s="27" t="s">
        <v>45</v>
      </c>
      <c r="AL35" s="28">
        <f t="shared" si="16"/>
        <v>13.632091022304836</v>
      </c>
      <c r="AM35" s="27" t="s">
        <v>84</v>
      </c>
      <c r="AN35" s="28">
        <f>AN21</f>
        <v>29.825112357029958</v>
      </c>
      <c r="AO35" s="25" t="s">
        <v>2</v>
      </c>
      <c r="AP35" s="28">
        <f t="shared" si="21"/>
        <v>9.5663045582898256</v>
      </c>
      <c r="AQ35" s="29" t="s">
        <v>97</v>
      </c>
      <c r="AR35" s="25"/>
    </row>
    <row r="36" spans="2:44" ht="13.5" thickTop="1" x14ac:dyDescent="0.2">
      <c r="E36" s="10"/>
      <c r="P36" s="25"/>
      <c r="Q36" s="27" t="s">
        <v>108</v>
      </c>
      <c r="R36" s="28">
        <f t="shared" si="17"/>
        <v>5.2626632262310402E-2</v>
      </c>
      <c r="S36" s="27" t="s">
        <v>84</v>
      </c>
      <c r="T36" s="28">
        <f>T22</f>
        <v>0</v>
      </c>
      <c r="U36" s="25" t="s">
        <v>2</v>
      </c>
      <c r="V36" s="28">
        <f t="shared" si="18"/>
        <v>5.2626632262310402E-2</v>
      </c>
      <c r="W36" s="29" t="s">
        <v>97</v>
      </c>
      <c r="X36" s="25"/>
      <c r="Z36" s="25"/>
      <c r="AA36" s="27" t="s">
        <v>108</v>
      </c>
      <c r="AB36" s="28">
        <f t="shared" si="19"/>
        <v>5.3795476608440085E-2</v>
      </c>
      <c r="AC36" s="27" t="s">
        <v>84</v>
      </c>
      <c r="AD36" s="28">
        <f>AD22</f>
        <v>0</v>
      </c>
      <c r="AE36" s="25" t="s">
        <v>2</v>
      </c>
      <c r="AF36" s="28">
        <f t="shared" si="20"/>
        <v>5.3795476608440085E-2</v>
      </c>
      <c r="AG36" s="29" t="s">
        <v>97</v>
      </c>
      <c r="AH36" s="25"/>
      <c r="AJ36" s="25"/>
      <c r="AK36" s="27" t="s">
        <v>108</v>
      </c>
      <c r="AL36" s="28">
        <f t="shared" si="16"/>
        <v>5.4574706172526355E-2</v>
      </c>
      <c r="AM36" s="27" t="s">
        <v>84</v>
      </c>
      <c r="AN36" s="28">
        <f>AN22</f>
        <v>0</v>
      </c>
      <c r="AO36" s="25" t="s">
        <v>2</v>
      </c>
      <c r="AP36" s="28">
        <f t="shared" si="21"/>
        <v>5.4574706172526355E-2</v>
      </c>
      <c r="AQ36" s="29" t="s">
        <v>97</v>
      </c>
      <c r="AR36" s="25"/>
    </row>
    <row r="37" spans="2:44" x14ac:dyDescent="0.2">
      <c r="C37" s="9"/>
      <c r="E37" s="34"/>
      <c r="P37" s="25"/>
      <c r="Q37" s="27" t="s">
        <v>96</v>
      </c>
      <c r="R37" s="28">
        <f t="shared" si="17"/>
        <v>9.2677329971476468</v>
      </c>
      <c r="S37" s="27" t="s">
        <v>84</v>
      </c>
      <c r="T37" s="28">
        <v>0</v>
      </c>
      <c r="U37" s="25" t="s">
        <v>2</v>
      </c>
      <c r="V37" s="28">
        <f t="shared" si="18"/>
        <v>9.2677329971476468</v>
      </c>
      <c r="W37" s="29" t="s">
        <v>97</v>
      </c>
      <c r="X37" s="25"/>
      <c r="Z37" s="25"/>
      <c r="AA37" s="27" t="s">
        <v>96</v>
      </c>
      <c r="AB37" s="28">
        <f t="shared" si="19"/>
        <v>9.4735705521931823</v>
      </c>
      <c r="AC37" s="27" t="s">
        <v>84</v>
      </c>
      <c r="AD37" s="28">
        <v>0</v>
      </c>
      <c r="AE37" s="25" t="s">
        <v>2</v>
      </c>
      <c r="AF37" s="28">
        <f t="shared" si="20"/>
        <v>9.4735705521931823</v>
      </c>
      <c r="AG37" s="29" t="s">
        <v>97</v>
      </c>
      <c r="AH37" s="25"/>
      <c r="AJ37" s="25"/>
      <c r="AK37" s="27" t="s">
        <v>96</v>
      </c>
      <c r="AL37" s="28">
        <f t="shared" si="16"/>
        <v>9.6107955888902055</v>
      </c>
      <c r="AM37" s="27" t="s">
        <v>84</v>
      </c>
      <c r="AN37" s="28">
        <v>0</v>
      </c>
      <c r="AO37" s="25" t="s">
        <v>2</v>
      </c>
      <c r="AP37" s="28">
        <f t="shared" si="21"/>
        <v>9.6107955888902055</v>
      </c>
      <c r="AQ37" s="29" t="s">
        <v>97</v>
      </c>
      <c r="AR37" s="25"/>
    </row>
    <row r="38" spans="2:44" x14ac:dyDescent="0.2">
      <c r="E38" s="34"/>
      <c r="P38" s="25"/>
      <c r="Q38" s="25"/>
      <c r="R38" s="26"/>
      <c r="S38" s="25"/>
      <c r="T38" s="25"/>
      <c r="U38" s="25"/>
      <c r="V38" s="26"/>
      <c r="W38" s="25"/>
      <c r="X38" s="25"/>
      <c r="Z38" s="25"/>
      <c r="AA38" s="25"/>
      <c r="AB38" s="26"/>
      <c r="AC38" s="25"/>
      <c r="AD38" s="25"/>
      <c r="AE38" s="25"/>
      <c r="AF38" s="26"/>
      <c r="AG38" s="25"/>
      <c r="AH38" s="25"/>
      <c r="AJ38" s="25"/>
      <c r="AK38" s="25"/>
      <c r="AL38" s="26"/>
      <c r="AM38" s="25"/>
      <c r="AN38" s="25"/>
      <c r="AO38" s="25"/>
      <c r="AP38" s="26"/>
      <c r="AQ38" s="25"/>
      <c r="AR38" s="25"/>
    </row>
    <row r="39" spans="2:44" x14ac:dyDescent="0.2">
      <c r="E39" s="34"/>
      <c r="P39" s="25"/>
      <c r="Q39" s="27" t="s">
        <v>47</v>
      </c>
      <c r="R39" s="28">
        <f t="shared" ref="R39:R44" si="22">$R$16*H136/100</f>
        <v>1.3359309652142199</v>
      </c>
      <c r="S39" s="27" t="s">
        <v>84</v>
      </c>
      <c r="T39" s="28">
        <f>H157</f>
        <v>0</v>
      </c>
      <c r="U39" s="25" t="s">
        <v>2</v>
      </c>
      <c r="V39" s="25"/>
      <c r="W39" s="28">
        <f t="shared" ref="W39:W44" si="23">R39-T39*R39/100</f>
        <v>1.3359309652142199</v>
      </c>
      <c r="X39" s="25"/>
      <c r="Z39" s="25"/>
      <c r="AA39" s="27" t="s">
        <v>47</v>
      </c>
      <c r="AB39" s="28">
        <f>$AB$16*H136/100</f>
        <v>1.4673012657278093</v>
      </c>
      <c r="AC39" s="27" t="s">
        <v>84</v>
      </c>
      <c r="AD39" s="28">
        <f>H157</f>
        <v>0</v>
      </c>
      <c r="AE39" s="25" t="s">
        <v>2</v>
      </c>
      <c r="AF39" s="25"/>
      <c r="AG39" s="28">
        <f t="shared" ref="AG39:AG44" si="24">AB39-AD39*AB39/100</f>
        <v>1.4673012657278093</v>
      </c>
      <c r="AH39" s="25"/>
      <c r="AJ39" s="25"/>
      <c r="AK39" s="27" t="s">
        <v>47</v>
      </c>
      <c r="AL39" s="28">
        <f>$AL$16*H136/100</f>
        <v>1.6115900151032105</v>
      </c>
      <c r="AM39" s="27" t="s">
        <v>84</v>
      </c>
      <c r="AN39" s="28">
        <f>H157</f>
        <v>0</v>
      </c>
      <c r="AO39" s="25" t="s">
        <v>2</v>
      </c>
      <c r="AP39" s="25"/>
      <c r="AQ39" s="28">
        <f t="shared" ref="AQ39:AQ44" si="25">AL39-AN39*AL39/100</f>
        <v>1.6115900151032105</v>
      </c>
      <c r="AR39" s="25"/>
    </row>
    <row r="40" spans="2:44" x14ac:dyDescent="0.2">
      <c r="E40" s="34"/>
      <c r="P40" s="25"/>
      <c r="Q40" s="27" t="s">
        <v>49</v>
      </c>
      <c r="R40" s="28">
        <f t="shared" si="22"/>
        <v>0</v>
      </c>
      <c r="S40" s="27" t="s">
        <v>84</v>
      </c>
      <c r="T40" s="28">
        <f>H158</f>
        <v>0</v>
      </c>
      <c r="U40" s="25" t="s">
        <v>2</v>
      </c>
      <c r="V40" s="25"/>
      <c r="W40" s="28">
        <f t="shared" si="23"/>
        <v>0</v>
      </c>
      <c r="X40" s="25"/>
      <c r="Z40" s="25"/>
      <c r="AA40" s="27" t="s">
        <v>49</v>
      </c>
      <c r="AB40" s="28">
        <f t="shared" ref="AB40:AB44" si="26">$AB$16*H137/100</f>
        <v>0</v>
      </c>
      <c r="AC40" s="27" t="s">
        <v>84</v>
      </c>
      <c r="AD40" s="28">
        <f>H158</f>
        <v>0</v>
      </c>
      <c r="AE40" s="25" t="s">
        <v>2</v>
      </c>
      <c r="AF40" s="25"/>
      <c r="AG40" s="28">
        <f t="shared" si="24"/>
        <v>0</v>
      </c>
      <c r="AH40" s="25"/>
      <c r="AJ40" s="25"/>
      <c r="AK40" s="27" t="s">
        <v>49</v>
      </c>
      <c r="AL40" s="28">
        <f t="shared" ref="AL40:AL44" si="27">$AL$16*H137/100</f>
        <v>0</v>
      </c>
      <c r="AM40" s="27" t="s">
        <v>84</v>
      </c>
      <c r="AN40" s="28">
        <f>H158</f>
        <v>0</v>
      </c>
      <c r="AO40" s="25" t="s">
        <v>2</v>
      </c>
      <c r="AP40" s="25"/>
      <c r="AQ40" s="28">
        <f t="shared" si="25"/>
        <v>0</v>
      </c>
      <c r="AR40" s="25"/>
    </row>
    <row r="41" spans="2:44" x14ac:dyDescent="0.2">
      <c r="E41" s="10"/>
      <c r="P41" s="25"/>
      <c r="Q41" s="27" t="s">
        <v>50</v>
      </c>
      <c r="R41" s="28">
        <f t="shared" si="22"/>
        <v>1.1939106939691559E-2</v>
      </c>
      <c r="S41" s="27" t="s">
        <v>84</v>
      </c>
      <c r="T41" s="28">
        <f>H159</f>
        <v>0</v>
      </c>
      <c r="U41" s="25" t="s">
        <v>2</v>
      </c>
      <c r="V41" s="25"/>
      <c r="W41" s="28">
        <f t="shared" si="23"/>
        <v>1.1939106939691559E-2</v>
      </c>
      <c r="X41" s="25"/>
      <c r="Z41" s="25"/>
      <c r="AA41" s="27" t="s">
        <v>50</v>
      </c>
      <c r="AB41" s="28">
        <f t="shared" si="26"/>
        <v>1.3113152685595547E-2</v>
      </c>
      <c r="AC41" s="27" t="s">
        <v>84</v>
      </c>
      <c r="AD41" s="28">
        <f>H159</f>
        <v>0</v>
      </c>
      <c r="AE41" s="25" t="s">
        <v>2</v>
      </c>
      <c r="AF41" s="25"/>
      <c r="AG41" s="28">
        <f t="shared" si="24"/>
        <v>1.3113152685595547E-2</v>
      </c>
      <c r="AH41" s="25"/>
      <c r="AJ41" s="25"/>
      <c r="AK41" s="27" t="s">
        <v>50</v>
      </c>
      <c r="AL41" s="28">
        <f t="shared" si="27"/>
        <v>1.4402649563685374E-2</v>
      </c>
      <c r="AM41" s="27" t="s">
        <v>84</v>
      </c>
      <c r="AN41" s="28">
        <f>H159</f>
        <v>0</v>
      </c>
      <c r="AO41" s="25" t="s">
        <v>2</v>
      </c>
      <c r="AP41" s="25"/>
      <c r="AQ41" s="28">
        <f t="shared" si="25"/>
        <v>1.4402649563685374E-2</v>
      </c>
      <c r="AR41" s="25"/>
    </row>
    <row r="42" spans="2:44" x14ac:dyDescent="0.2">
      <c r="B42" s="84" t="s">
        <v>61</v>
      </c>
      <c r="C42" s="53"/>
      <c r="E42" s="10"/>
      <c r="P42" s="25"/>
      <c r="Q42" s="27" t="s">
        <v>51</v>
      </c>
      <c r="R42" s="28">
        <f t="shared" si="22"/>
        <v>0.15051873476122818</v>
      </c>
      <c r="S42" s="27" t="s">
        <v>84</v>
      </c>
      <c r="T42" s="28">
        <f>H160</f>
        <v>0</v>
      </c>
      <c r="U42" s="25" t="s">
        <v>2</v>
      </c>
      <c r="V42" s="25"/>
      <c r="W42" s="28">
        <f t="shared" si="23"/>
        <v>0.15051873476122818</v>
      </c>
      <c r="X42" s="25"/>
      <c r="Z42" s="25"/>
      <c r="AA42" s="27" t="s">
        <v>51</v>
      </c>
      <c r="AB42" s="28">
        <f t="shared" si="26"/>
        <v>0.16532016682125761</v>
      </c>
      <c r="AC42" s="27" t="s">
        <v>84</v>
      </c>
      <c r="AD42" s="28">
        <f>H160</f>
        <v>0</v>
      </c>
      <c r="AE42" s="25" t="s">
        <v>2</v>
      </c>
      <c r="AF42" s="25"/>
      <c r="AG42" s="28">
        <f t="shared" si="24"/>
        <v>0.16532016682125761</v>
      </c>
      <c r="AH42" s="25"/>
      <c r="AJ42" s="25"/>
      <c r="AK42" s="27" t="s">
        <v>51</v>
      </c>
      <c r="AL42" s="28">
        <f t="shared" si="27"/>
        <v>0.1815771146439939</v>
      </c>
      <c r="AM42" s="27" t="s">
        <v>84</v>
      </c>
      <c r="AN42" s="28">
        <f>H160</f>
        <v>0</v>
      </c>
      <c r="AO42" s="25" t="s">
        <v>2</v>
      </c>
      <c r="AP42" s="25"/>
      <c r="AQ42" s="28">
        <f t="shared" si="25"/>
        <v>0.1815771146439939</v>
      </c>
      <c r="AR42" s="25"/>
    </row>
    <row r="43" spans="2:44" ht="13.5" thickBot="1" x14ac:dyDescent="0.25">
      <c r="D43">
        <v>2012</v>
      </c>
      <c r="E43">
        <v>2020</v>
      </c>
      <c r="P43" s="25"/>
      <c r="Q43" s="27" t="s">
        <v>109</v>
      </c>
      <c r="R43" s="28">
        <f t="shared" si="22"/>
        <v>0.23914279374255001</v>
      </c>
      <c r="S43" s="27" t="s">
        <v>84</v>
      </c>
      <c r="T43" s="28">
        <f>H161</f>
        <v>0</v>
      </c>
      <c r="U43" s="25" t="s">
        <v>2</v>
      </c>
      <c r="V43" s="25"/>
      <c r="W43" s="28">
        <f t="shared" si="23"/>
        <v>0.23914279374255001</v>
      </c>
      <c r="X43" s="25"/>
      <c r="Z43" s="25"/>
      <c r="AA43" s="27" t="s">
        <v>109</v>
      </c>
      <c r="AB43" s="28">
        <f t="shared" si="26"/>
        <v>0.2626591740778022</v>
      </c>
      <c r="AC43" s="27" t="s">
        <v>84</v>
      </c>
      <c r="AD43" s="28">
        <f>H161</f>
        <v>0</v>
      </c>
      <c r="AE43" s="25" t="s">
        <v>2</v>
      </c>
      <c r="AF43" s="25"/>
      <c r="AG43" s="28">
        <f t="shared" si="24"/>
        <v>0.2626591740778022</v>
      </c>
      <c r="AH43" s="25"/>
      <c r="AJ43" s="25"/>
      <c r="AK43" s="27" t="s">
        <v>109</v>
      </c>
      <c r="AL43" s="28">
        <f t="shared" si="27"/>
        <v>0.28848806458916104</v>
      </c>
      <c r="AM43" s="27" t="s">
        <v>84</v>
      </c>
      <c r="AN43" s="28">
        <f>H161</f>
        <v>0</v>
      </c>
      <c r="AO43" s="25" t="s">
        <v>2</v>
      </c>
      <c r="AP43" s="25"/>
      <c r="AQ43" s="28">
        <f t="shared" si="25"/>
        <v>0.28848806458916104</v>
      </c>
      <c r="AR43" s="25"/>
    </row>
    <row r="44" spans="2:44" ht="13.5" thickTop="1" x14ac:dyDescent="0.2">
      <c r="C44" t="s">
        <v>62</v>
      </c>
      <c r="D44" s="2">
        <f>'option 1 full implementation'!D44</f>
        <v>7.1411729039646969</v>
      </c>
      <c r="E44" s="130">
        <v>10.269021536627166</v>
      </c>
      <c r="F44" s="133"/>
      <c r="G44" s="129"/>
      <c r="P44" s="25"/>
      <c r="Q44" s="27" t="s">
        <v>83</v>
      </c>
      <c r="R44" s="28">
        <f t="shared" si="22"/>
        <v>1.4131052125495168E-2</v>
      </c>
      <c r="S44" s="27" t="s">
        <v>84</v>
      </c>
      <c r="T44" s="28">
        <v>0</v>
      </c>
      <c r="U44" s="25" t="s">
        <v>2</v>
      </c>
      <c r="V44" s="25"/>
      <c r="W44" s="28">
        <f t="shared" si="23"/>
        <v>1.4131052125495168E-2</v>
      </c>
      <c r="X44" s="25"/>
      <c r="Z44" s="25"/>
      <c r="AA44" s="27" t="s">
        <v>83</v>
      </c>
      <c r="AB44" s="28">
        <f t="shared" si="26"/>
        <v>1.5520645310051541E-2</v>
      </c>
      <c r="AC44" s="27" t="s">
        <v>84</v>
      </c>
      <c r="AD44" s="28">
        <f t="shared" ref="AD44" si="28">G162</f>
        <v>0</v>
      </c>
      <c r="AE44" s="25" t="s">
        <v>2</v>
      </c>
      <c r="AF44" s="25"/>
      <c r="AG44" s="28">
        <f t="shared" si="24"/>
        <v>1.5520645310051541E-2</v>
      </c>
      <c r="AH44" s="25"/>
      <c r="AJ44" s="25"/>
      <c r="AK44" s="27" t="s">
        <v>83</v>
      </c>
      <c r="AL44" s="28">
        <f t="shared" si="27"/>
        <v>1.7046885730879986E-2</v>
      </c>
      <c r="AM44" s="27" t="s">
        <v>84</v>
      </c>
      <c r="AN44" s="28">
        <f t="shared" ref="AN44" si="29">G162</f>
        <v>0</v>
      </c>
      <c r="AO44" s="25" t="s">
        <v>2</v>
      </c>
      <c r="AP44" s="25"/>
      <c r="AQ44" s="28">
        <f t="shared" si="25"/>
        <v>1.7046885730879986E-2</v>
      </c>
      <c r="AR44" s="25"/>
    </row>
    <row r="45" spans="2:44" x14ac:dyDescent="0.2">
      <c r="C45" t="s">
        <v>63</v>
      </c>
      <c r="D45" s="2">
        <f>'option 1 full implementation'!D45</f>
        <v>52.817731667059654</v>
      </c>
      <c r="E45" s="131">
        <v>75.952008346374527</v>
      </c>
      <c r="F45" s="133"/>
      <c r="G45" s="129"/>
      <c r="P45" s="25"/>
      <c r="Q45" s="25"/>
      <c r="R45" s="26"/>
      <c r="S45" s="25"/>
      <c r="T45" s="25"/>
      <c r="U45" s="25"/>
      <c r="V45" s="26"/>
      <c r="W45" s="26"/>
      <c r="X45" s="25"/>
      <c r="Z45" s="25"/>
      <c r="AA45" s="25"/>
      <c r="AB45" s="26"/>
      <c r="AC45" s="25"/>
      <c r="AD45" s="25"/>
      <c r="AE45" s="25"/>
      <c r="AF45" s="26"/>
      <c r="AG45" s="26"/>
      <c r="AH45" s="25"/>
      <c r="AJ45" s="25"/>
      <c r="AK45" s="25"/>
      <c r="AL45" s="26"/>
      <c r="AM45" s="25"/>
      <c r="AN45" s="25"/>
      <c r="AO45" s="25"/>
      <c r="AP45" s="26"/>
      <c r="AQ45" s="26"/>
      <c r="AR45" s="25"/>
    </row>
    <row r="46" spans="2:44" x14ac:dyDescent="0.2">
      <c r="C46" t="s">
        <v>64</v>
      </c>
      <c r="D46" s="2">
        <f>'option 1 full implementation'!D46</f>
        <v>24.522518273991984</v>
      </c>
      <c r="E46" s="131">
        <v>35.263432446531034</v>
      </c>
      <c r="F46" s="133"/>
      <c r="G46" s="129"/>
      <c r="P46" s="25"/>
      <c r="Q46" s="27" t="s">
        <v>91</v>
      </c>
      <c r="R46" s="28">
        <f>R12-R16</f>
        <v>22.009433535783703</v>
      </c>
      <c r="S46" s="27" t="s">
        <v>84</v>
      </c>
      <c r="T46" s="28">
        <v>0</v>
      </c>
      <c r="U46" s="25" t="s">
        <v>2</v>
      </c>
      <c r="V46" s="26"/>
      <c r="W46" s="28">
        <f t="shared" ref="W46" si="30">R46-T46*R46/100</f>
        <v>22.009433535783703</v>
      </c>
      <c r="X46" s="25"/>
      <c r="Z46" s="25"/>
      <c r="AA46" s="27" t="s">
        <v>91</v>
      </c>
      <c r="AB46" s="28">
        <f>AB12-AB16</f>
        <v>24.173756373578051</v>
      </c>
      <c r="AC46" s="27" t="s">
        <v>84</v>
      </c>
      <c r="AD46" s="28">
        <v>0</v>
      </c>
      <c r="AE46" s="25" t="s">
        <v>2</v>
      </c>
      <c r="AF46" s="26"/>
      <c r="AG46" s="28">
        <f t="shared" ref="AG46" si="31">AB46-AD46*AB46/100</f>
        <v>24.173756373578051</v>
      </c>
      <c r="AH46" s="25"/>
      <c r="AJ46" s="25"/>
      <c r="AK46" s="27" t="s">
        <v>91</v>
      </c>
      <c r="AL46" s="28">
        <f>AL12-AL16</f>
        <v>26.550910374817935</v>
      </c>
      <c r="AM46" s="27" t="s">
        <v>84</v>
      </c>
      <c r="AN46" s="28">
        <v>0</v>
      </c>
      <c r="AO46" s="25" t="s">
        <v>2</v>
      </c>
      <c r="AP46" s="26"/>
      <c r="AQ46" s="28">
        <f t="shared" ref="AQ46" si="32">AL46-AN46*AL46/100</f>
        <v>26.550910374817935</v>
      </c>
      <c r="AR46" s="25"/>
    </row>
    <row r="47" spans="2:44" ht="13.5" thickBot="1" x14ac:dyDescent="0.25">
      <c r="C47" t="s">
        <v>65</v>
      </c>
      <c r="D47" s="2">
        <f>'option 1 full implementation'!D47</f>
        <v>40.509313841075219</v>
      </c>
      <c r="E47" s="132">
        <v>58.252477829942606</v>
      </c>
      <c r="F47" s="133"/>
      <c r="G47" s="129"/>
      <c r="P47" s="25"/>
      <c r="Q47" s="25"/>
      <c r="R47" s="26"/>
      <c r="S47" s="25"/>
      <c r="T47" s="25"/>
      <c r="U47" s="25"/>
      <c r="V47" s="25"/>
      <c r="W47" s="25"/>
      <c r="X47" s="25"/>
      <c r="Z47" s="25"/>
      <c r="AA47" s="25"/>
      <c r="AB47" s="26"/>
      <c r="AC47" s="25"/>
      <c r="AD47" s="25"/>
      <c r="AE47" s="25"/>
      <c r="AF47" s="25"/>
      <c r="AG47" s="25"/>
      <c r="AH47" s="25"/>
      <c r="AJ47" s="25"/>
      <c r="AK47" s="25"/>
      <c r="AL47" s="26"/>
      <c r="AM47" s="25"/>
      <c r="AN47" s="25"/>
      <c r="AO47" s="25"/>
      <c r="AP47" s="25"/>
      <c r="AQ47" s="25"/>
      <c r="AR47" s="25"/>
    </row>
    <row r="48" spans="2:44" ht="14.25" thickTop="1" thickBot="1" x14ac:dyDescent="0.25">
      <c r="E48" s="10"/>
      <c r="P48" s="25"/>
      <c r="Q48" s="25"/>
      <c r="R48" s="26"/>
      <c r="S48" s="25"/>
      <c r="T48" s="25"/>
      <c r="U48" s="25"/>
      <c r="V48" s="25"/>
      <c r="W48" s="25"/>
      <c r="X48" s="25"/>
      <c r="Z48" s="25"/>
      <c r="AA48" s="25"/>
      <c r="AB48" s="26"/>
      <c r="AC48" s="25"/>
      <c r="AD48" s="25"/>
      <c r="AE48" s="25"/>
      <c r="AF48" s="25"/>
      <c r="AG48" s="25"/>
      <c r="AH48" s="25"/>
      <c r="AJ48" s="25"/>
      <c r="AK48" s="25"/>
      <c r="AL48" s="26"/>
      <c r="AM48" s="25"/>
      <c r="AN48" s="25"/>
      <c r="AO48" s="25"/>
      <c r="AP48" s="25"/>
      <c r="AQ48" s="25"/>
      <c r="AR48" s="25"/>
    </row>
    <row r="49" spans="2:44" ht="13.5" thickBot="1" x14ac:dyDescent="0.25">
      <c r="B49" t="s">
        <v>23</v>
      </c>
      <c r="E49" s="10"/>
      <c r="F49" t="s">
        <v>24</v>
      </c>
      <c r="G49" t="s">
        <v>66</v>
      </c>
      <c r="P49" s="25"/>
      <c r="Q49" s="25"/>
      <c r="R49" s="26"/>
      <c r="S49" s="25"/>
      <c r="T49" s="25"/>
      <c r="U49" s="30"/>
      <c r="V49" s="31" t="s">
        <v>21</v>
      </c>
      <c r="W49" s="122">
        <f>SUM(W18:W46)</f>
        <v>96.225551806341073</v>
      </c>
      <c r="X49" s="25"/>
      <c r="Z49" s="25"/>
      <c r="AA49" s="25"/>
      <c r="AB49" s="26"/>
      <c r="AC49" s="25"/>
      <c r="AD49" s="25"/>
      <c r="AE49" s="30"/>
      <c r="AF49" s="31" t="s">
        <v>21</v>
      </c>
      <c r="AG49" s="122">
        <f>SUM(AG18:AG46)</f>
        <v>100.17157137854588</v>
      </c>
      <c r="AH49" s="25"/>
      <c r="AJ49" s="25"/>
      <c r="AK49" s="25"/>
      <c r="AL49" s="26"/>
      <c r="AM49" s="25"/>
      <c r="AN49" s="25"/>
      <c r="AO49" s="30"/>
      <c r="AP49" s="31" t="s">
        <v>21</v>
      </c>
      <c r="AQ49" s="122">
        <f>SUM(AQ18:AQ46)</f>
        <v>103.81087902650829</v>
      </c>
      <c r="AR49" s="25"/>
    </row>
    <row r="50" spans="2:44" x14ac:dyDescent="0.2">
      <c r="C50" t="str">
        <f>C44</f>
        <v>plastic</v>
      </c>
      <c r="D50" s="2">
        <f>100-D44</f>
        <v>92.858827096035299</v>
      </c>
      <c r="E50" s="10">
        <f>100-E44</f>
        <v>89.730978463372836</v>
      </c>
      <c r="F50" s="10">
        <f>D50-E50</f>
        <v>3.127848632662463</v>
      </c>
      <c r="G50" s="17">
        <f>F50/D50*100</f>
        <v>3.3683912778993195</v>
      </c>
      <c r="H50" s="1" t="s">
        <v>2</v>
      </c>
      <c r="P50" s="25"/>
      <c r="Q50" s="25"/>
      <c r="R50" s="26"/>
      <c r="S50" s="25"/>
      <c r="T50" s="25"/>
      <c r="U50" s="25"/>
      <c r="V50" s="25"/>
      <c r="W50" s="25"/>
      <c r="X50" s="25"/>
      <c r="Z50" s="25"/>
      <c r="AA50" s="25"/>
      <c r="AB50" s="26"/>
      <c r="AC50" s="25"/>
      <c r="AD50" s="25"/>
      <c r="AE50" s="25"/>
      <c r="AF50" s="25"/>
      <c r="AG50" s="25"/>
      <c r="AH50" s="25"/>
      <c r="AJ50" s="25"/>
      <c r="AK50" s="25"/>
      <c r="AL50" s="26"/>
      <c r="AM50" s="25"/>
      <c r="AN50" s="25"/>
      <c r="AO50" s="25"/>
      <c r="AP50" s="25"/>
      <c r="AQ50" s="25"/>
      <c r="AR50" s="25"/>
    </row>
    <row r="51" spans="2:44" ht="13.5" thickBot="1" x14ac:dyDescent="0.25">
      <c r="C51" t="str">
        <f t="shared" ref="C51:C53" si="33">C45</f>
        <v>glass</v>
      </c>
      <c r="D51" s="2">
        <f t="shared" ref="D51:D53" si="34">100-D45</f>
        <v>47.182268332940346</v>
      </c>
      <c r="E51" s="10">
        <f>100-E45</f>
        <v>24.047991653625473</v>
      </c>
      <c r="F51" s="10">
        <f>D51-E51</f>
        <v>23.134276679314873</v>
      </c>
      <c r="G51" s="18">
        <f t="shared" ref="G51:G53" si="35">F51/D51*100</f>
        <v>49.031717839567399</v>
      </c>
      <c r="H51" s="1" t="s">
        <v>2</v>
      </c>
      <c r="P51" s="25"/>
      <c r="Q51" s="25"/>
      <c r="R51" s="26"/>
      <c r="S51" s="25"/>
      <c r="T51" s="25"/>
      <c r="U51" s="25"/>
      <c r="V51" s="25"/>
      <c r="W51" s="25"/>
      <c r="X51" s="25"/>
      <c r="Z51" s="25"/>
      <c r="AA51" s="25"/>
      <c r="AB51" s="26"/>
      <c r="AC51" s="25"/>
      <c r="AD51" s="25"/>
      <c r="AE51" s="25"/>
      <c r="AF51" s="25"/>
      <c r="AG51" s="25"/>
      <c r="AH51" s="25"/>
      <c r="AJ51" s="25"/>
      <c r="AK51" s="25"/>
      <c r="AL51" s="26"/>
      <c r="AM51" s="25"/>
      <c r="AN51" s="25"/>
      <c r="AO51" s="25"/>
      <c r="AP51" s="25"/>
      <c r="AQ51" s="25"/>
      <c r="AR51" s="25"/>
    </row>
    <row r="52" spans="2:44" ht="13.5" thickBot="1" x14ac:dyDescent="0.25">
      <c r="C52" t="str">
        <f t="shared" si="33"/>
        <v>metals</v>
      </c>
      <c r="D52" s="2">
        <f t="shared" si="34"/>
        <v>75.477481726008023</v>
      </c>
      <c r="E52" s="10">
        <f>100-E46</f>
        <v>64.736567553468973</v>
      </c>
      <c r="F52" s="10">
        <f>D52-E52</f>
        <v>10.74091417253905</v>
      </c>
      <c r="G52" s="18">
        <f t="shared" si="35"/>
        <v>14.230620745310249</v>
      </c>
      <c r="H52" s="1" t="s">
        <v>2</v>
      </c>
      <c r="P52" s="25"/>
      <c r="Q52" s="25"/>
      <c r="R52" s="26"/>
      <c r="S52" s="25"/>
      <c r="T52" s="25"/>
      <c r="U52" s="30" t="s">
        <v>99</v>
      </c>
      <c r="V52" s="32"/>
      <c r="W52" s="35">
        <f>100-W49</f>
        <v>3.7744481936589267</v>
      </c>
      <c r="X52" s="33" t="s">
        <v>2</v>
      </c>
      <c r="Z52" s="25"/>
      <c r="AA52" s="25"/>
      <c r="AB52" s="26"/>
      <c r="AC52" s="25"/>
      <c r="AD52" s="25"/>
      <c r="AE52" s="30" t="s">
        <v>99</v>
      </c>
      <c r="AF52" s="32"/>
      <c r="AG52" s="35">
        <f>100-AG49</f>
        <v>-0.17157137854587745</v>
      </c>
      <c r="AH52" s="33" t="s">
        <v>2</v>
      </c>
      <c r="AJ52" s="25"/>
      <c r="AK52" s="25"/>
      <c r="AL52" s="26"/>
      <c r="AM52" s="25"/>
      <c r="AN52" s="25"/>
      <c r="AO52" s="30" t="s">
        <v>99</v>
      </c>
      <c r="AP52" s="32"/>
      <c r="AQ52" s="35">
        <f>100-AQ49</f>
        <v>-3.8108790265082888</v>
      </c>
      <c r="AR52" s="33" t="s">
        <v>2</v>
      </c>
    </row>
    <row r="53" spans="2:44" ht="13.5" thickBot="1" x14ac:dyDescent="0.25">
      <c r="C53" t="str">
        <f t="shared" si="33"/>
        <v>paper</v>
      </c>
      <c r="D53" s="2">
        <f t="shared" si="34"/>
        <v>59.490686158924781</v>
      </c>
      <c r="E53" s="10">
        <f>100-E47</f>
        <v>41.747522170057394</v>
      </c>
      <c r="F53" s="10">
        <f>D53-E53</f>
        <v>17.743163988867387</v>
      </c>
      <c r="G53" s="19">
        <f t="shared" si="35"/>
        <v>29.825112357029958</v>
      </c>
      <c r="H53" s="1" t="s">
        <v>2</v>
      </c>
      <c r="P53" s="25"/>
      <c r="Q53" s="25"/>
      <c r="R53" s="26"/>
      <c r="S53" s="25"/>
      <c r="T53" s="25"/>
      <c r="U53" s="25"/>
      <c r="V53" s="25"/>
      <c r="W53" s="25"/>
      <c r="X53" s="25"/>
      <c r="Z53" s="25"/>
      <c r="AA53" s="25"/>
      <c r="AB53" s="26"/>
      <c r="AC53" s="25"/>
      <c r="AD53" s="25"/>
      <c r="AE53" s="25"/>
      <c r="AF53" s="25"/>
      <c r="AG53" s="25"/>
      <c r="AH53" s="25"/>
      <c r="AJ53" s="25"/>
      <c r="AK53" s="25"/>
      <c r="AL53" s="26"/>
      <c r="AM53" s="25"/>
      <c r="AN53" s="25"/>
      <c r="AO53" s="25"/>
      <c r="AP53" s="25"/>
      <c r="AQ53" s="25"/>
      <c r="AR53" s="25"/>
    </row>
    <row r="54" spans="2:44" x14ac:dyDescent="0.2">
      <c r="C54" t="s">
        <v>106</v>
      </c>
      <c r="D54" s="2"/>
      <c r="E54" s="10"/>
      <c r="F54" s="10"/>
      <c r="G54" s="134">
        <v>0</v>
      </c>
      <c r="H54" s="1" t="s">
        <v>2</v>
      </c>
      <c r="P54" s="53"/>
      <c r="Q54" s="53"/>
      <c r="R54" s="54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53"/>
      <c r="AD54" s="53"/>
      <c r="AE54" s="53"/>
      <c r="AF54" s="53"/>
      <c r="AG54" s="53"/>
      <c r="AH54" s="53"/>
      <c r="AI54" s="53"/>
      <c r="AJ54" s="53"/>
      <c r="AK54" s="53"/>
      <c r="AL54" s="54"/>
      <c r="AM54" s="53"/>
      <c r="AN54" s="53"/>
      <c r="AO54" s="53"/>
      <c r="AP54" s="53"/>
      <c r="AQ54" s="53"/>
      <c r="AR54" s="53"/>
    </row>
    <row r="55" spans="2:44" x14ac:dyDescent="0.2">
      <c r="C55" t="s">
        <v>82</v>
      </c>
      <c r="D55" s="2"/>
      <c r="E55" s="10"/>
      <c r="F55" s="10"/>
      <c r="G55" s="134">
        <v>0</v>
      </c>
      <c r="H55" s="1" t="s">
        <v>2</v>
      </c>
      <c r="P55" s="53"/>
      <c r="Q55" s="53"/>
      <c r="R55" s="54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53"/>
      <c r="AD55" s="53"/>
      <c r="AE55" s="53"/>
      <c r="AF55" s="53"/>
      <c r="AG55" s="53"/>
      <c r="AH55" s="53"/>
      <c r="AI55" s="53"/>
      <c r="AJ55" s="53"/>
      <c r="AK55" s="53"/>
      <c r="AL55" s="54"/>
      <c r="AM55" s="53"/>
      <c r="AN55" s="53"/>
      <c r="AO55" s="53"/>
      <c r="AP55" s="53"/>
      <c r="AQ55" s="53"/>
      <c r="AR55" s="53"/>
    </row>
    <row r="56" spans="2:44" x14ac:dyDescent="0.2">
      <c r="E56" s="10"/>
    </row>
    <row r="57" spans="2:44" x14ac:dyDescent="0.2">
      <c r="B57" s="84" t="s">
        <v>30</v>
      </c>
      <c r="C57" s="53"/>
    </row>
    <row r="58" spans="2:44" x14ac:dyDescent="0.2">
      <c r="B58" t="s">
        <v>184</v>
      </c>
      <c r="D58" t="s">
        <v>32</v>
      </c>
      <c r="E58" t="s">
        <v>33</v>
      </c>
      <c r="G58" t="str">
        <f>D58</f>
        <v>packaging</v>
      </c>
    </row>
    <row r="59" spans="2:44" x14ac:dyDescent="0.2">
      <c r="B59" t="s">
        <v>31</v>
      </c>
      <c r="C59" t="s">
        <v>7</v>
      </c>
      <c r="D59">
        <f>'option 1 full implementation'!D59</f>
        <v>2470</v>
      </c>
      <c r="E59">
        <f>'option 1 full implementation'!E59</f>
        <v>32566</v>
      </c>
      <c r="G59" s="10">
        <f>D59/(D59+E59)*100</f>
        <v>7.0498915401301518</v>
      </c>
      <c r="H59" s="1" t="s">
        <v>2</v>
      </c>
      <c r="I59" s="10">
        <f>G59+G61*(G59/(G59+G60))</f>
        <v>7.2873114912236856</v>
      </c>
      <c r="J59" t="s">
        <v>2</v>
      </c>
      <c r="L59" t="str">
        <f>CONCATENATE(ROUND(I59,1),"% of ",B59," ",C59," litter consists of packaging")</f>
        <v>7,3% of NOR industrial litter consists of packaging</v>
      </c>
    </row>
    <row r="60" spans="2:44" x14ac:dyDescent="0.2">
      <c r="B60" t="s">
        <v>31</v>
      </c>
      <c r="C60" t="s">
        <v>34</v>
      </c>
      <c r="D60">
        <f>'option 1 full implementation'!D60</f>
        <v>18577</v>
      </c>
      <c r="E60">
        <f>'option 1 full implementation'!E60</f>
        <v>10205</v>
      </c>
      <c r="G60" s="10">
        <f t="shared" ref="G60:G70" si="36">D60/(D60+E60)*100</f>
        <v>64.543812104787719</v>
      </c>
      <c r="H60" s="1" t="s">
        <v>2</v>
      </c>
      <c r="I60" s="10">
        <f>G60+G61*(G60/(G59+G60))</f>
        <v>66.717460965352458</v>
      </c>
      <c r="J60" t="s">
        <v>2</v>
      </c>
      <c r="L60" t="str">
        <f t="shared" ref="L60:L72" si="37">CONCATENATE(ROUND(I60,1),"% of ",B60," ",C60," litter consists of packaging")</f>
        <v>66,7% of NOR consumer litter consists of packaging</v>
      </c>
    </row>
    <row r="61" spans="2:44" x14ac:dyDescent="0.2">
      <c r="B61" t="s">
        <v>31</v>
      </c>
      <c r="C61" t="s">
        <v>8</v>
      </c>
      <c r="D61">
        <f>'option 1 full implementation'!D61</f>
        <v>589</v>
      </c>
      <c r="E61">
        <f>'option 1 full implementation'!E61</f>
        <v>23840</v>
      </c>
      <c r="G61" s="10">
        <f t="shared" si="36"/>
        <v>2.411068811658275</v>
      </c>
      <c r="H61" s="1" t="s">
        <v>2</v>
      </c>
      <c r="I61" s="10"/>
    </row>
    <row r="62" spans="2:44" x14ac:dyDescent="0.2">
      <c r="B62" t="s">
        <v>35</v>
      </c>
      <c r="C62" t="s">
        <v>7</v>
      </c>
      <c r="D62">
        <f>'option 1 full implementation'!D62</f>
        <v>1181</v>
      </c>
      <c r="E62">
        <f>'option 1 full implementation'!E62</f>
        <v>2444</v>
      </c>
      <c r="G62" s="10">
        <f t="shared" si="36"/>
        <v>32.57931034482759</v>
      </c>
      <c r="H62" s="1" t="s">
        <v>2</v>
      </c>
      <c r="I62" s="10">
        <f>G62+G64*(G62/(G62+G63))</f>
        <v>33.490694179104082</v>
      </c>
      <c r="J62" t="s">
        <v>2</v>
      </c>
      <c r="L62" t="str">
        <f t="shared" si="37"/>
        <v>33,5% of BAL industrial litter consists of packaging</v>
      </c>
    </row>
    <row r="63" spans="2:44" x14ac:dyDescent="0.2">
      <c r="B63" t="s">
        <v>35</v>
      </c>
      <c r="C63" t="s">
        <v>34</v>
      </c>
      <c r="D63">
        <f>'option 1 full implementation'!D63</f>
        <v>6272</v>
      </c>
      <c r="E63">
        <f>'option 1 full implementation'!E63</f>
        <v>3949</v>
      </c>
      <c r="G63" s="10">
        <f t="shared" si="36"/>
        <v>61.363858722238533</v>
      </c>
      <c r="H63" s="1" t="s">
        <v>2</v>
      </c>
      <c r="I63" s="10">
        <f>G63+G64*(G63/(G62+G63))</f>
        <v>63.080470530663561</v>
      </c>
      <c r="J63" t="s">
        <v>2</v>
      </c>
      <c r="L63" t="str">
        <f t="shared" si="37"/>
        <v>63,1% of BAL consumer litter consists of packaging</v>
      </c>
      <c r="R63" s="1" t="s">
        <v>67</v>
      </c>
    </row>
    <row r="64" spans="2:44" x14ac:dyDescent="0.2">
      <c r="B64" t="s">
        <v>35</v>
      </c>
      <c r="C64" t="s">
        <v>8</v>
      </c>
      <c r="D64">
        <f>'option 1 full implementation'!D64</f>
        <v>193</v>
      </c>
      <c r="E64">
        <f>'option 1 full implementation'!E64</f>
        <v>7151</v>
      </c>
      <c r="G64" s="10">
        <f t="shared" si="36"/>
        <v>2.6279956427015252</v>
      </c>
      <c r="H64" s="1" t="s">
        <v>2</v>
      </c>
    </row>
    <row r="65" spans="2:21" x14ac:dyDescent="0.2">
      <c r="B65" t="s">
        <v>36</v>
      </c>
      <c r="C65" t="s">
        <v>7</v>
      </c>
      <c r="D65">
        <f>'option 1 full implementation'!D65</f>
        <v>15</v>
      </c>
      <c r="E65">
        <f>'option 1 full implementation'!E65</f>
        <v>320</v>
      </c>
      <c r="G65" s="10">
        <f t="shared" si="36"/>
        <v>4.4776119402985071</v>
      </c>
      <c r="H65" s="1" t="s">
        <v>2</v>
      </c>
      <c r="I65" s="10">
        <f>G65+G67*(G65/(G65+G66))</f>
        <v>4.7310359768566617</v>
      </c>
      <c r="J65" t="s">
        <v>2</v>
      </c>
      <c r="L65" t="str">
        <f t="shared" si="37"/>
        <v>4,7% of BLA industrial litter consists of packaging</v>
      </c>
      <c r="R65"/>
      <c r="S65" t="s">
        <v>53</v>
      </c>
      <c r="T65" s="125" t="s">
        <v>54</v>
      </c>
      <c r="U65" t="s">
        <v>55</v>
      </c>
    </row>
    <row r="66" spans="2:21" x14ac:dyDescent="0.2">
      <c r="B66" t="s">
        <v>36</v>
      </c>
      <c r="C66" t="s">
        <v>34</v>
      </c>
      <c r="D66">
        <f>'option 1 full implementation'!D66</f>
        <v>2636</v>
      </c>
      <c r="E66">
        <f>'option 1 full implementation'!E66</f>
        <v>2609</v>
      </c>
      <c r="G66" s="10">
        <f t="shared" si="36"/>
        <v>50.257387988560531</v>
      </c>
      <c r="H66" s="1" t="s">
        <v>2</v>
      </c>
      <c r="I66" s="10">
        <f>G66+G67*(G66/(G65+G66))</f>
        <v>53.101857384468303</v>
      </c>
      <c r="J66" t="s">
        <v>2</v>
      </c>
      <c r="L66" t="str">
        <f t="shared" si="37"/>
        <v>53,1% of BLA consumer litter consists of packaging</v>
      </c>
      <c r="R66" s="9" t="s">
        <v>56</v>
      </c>
      <c r="S66">
        <f>'option 1 full implementation'!S66</f>
        <v>13080</v>
      </c>
      <c r="T66" s="3">
        <f>'option 1 full implementation'!T66</f>
        <v>0.26286173633440513</v>
      </c>
      <c r="U66">
        <f>'option 1 full implementation'!U66</f>
        <v>152</v>
      </c>
    </row>
    <row r="67" spans="2:21" x14ac:dyDescent="0.2">
      <c r="B67" t="s">
        <v>36</v>
      </c>
      <c r="C67" t="s">
        <v>8</v>
      </c>
      <c r="D67">
        <f>'option 1 full implementation'!D67</f>
        <v>25</v>
      </c>
      <c r="E67">
        <f>'option 1 full implementation'!E67</f>
        <v>782</v>
      </c>
      <c r="G67" s="10">
        <f t="shared" si="36"/>
        <v>3.0978934324659235</v>
      </c>
      <c r="H67" s="1" t="s">
        <v>2</v>
      </c>
      <c r="I67" s="10"/>
      <c r="R67" s="9" t="s">
        <v>57</v>
      </c>
      <c r="S67">
        <f>'option 1 full implementation'!S67</f>
        <v>16164</v>
      </c>
      <c r="T67" s="3">
        <f>'option 1 full implementation'!T67</f>
        <v>0.32483922829581996</v>
      </c>
      <c r="U67">
        <f>'option 1 full implementation'!U67</f>
        <v>33</v>
      </c>
    </row>
    <row r="68" spans="2:21" x14ac:dyDescent="0.2">
      <c r="B68" t="s">
        <v>37</v>
      </c>
      <c r="C68" t="s">
        <v>7</v>
      </c>
      <c r="D68">
        <f>'option 1 full implementation'!D68</f>
        <v>241</v>
      </c>
      <c r="E68">
        <f>'option 1 full implementation'!E68</f>
        <v>535</v>
      </c>
      <c r="G68" s="10">
        <f t="shared" si="36"/>
        <v>31.056701030927837</v>
      </c>
      <c r="H68" s="1" t="s">
        <v>2</v>
      </c>
      <c r="I68" s="10">
        <f>G68+G70*(G68/(G68+G69))</f>
        <v>32.847440903542989</v>
      </c>
      <c r="J68" t="s">
        <v>2</v>
      </c>
      <c r="L68" t="str">
        <f t="shared" si="37"/>
        <v>32,8% of MED industrial litter consists of packaging</v>
      </c>
      <c r="R68" s="9" t="s">
        <v>58</v>
      </c>
      <c r="S68">
        <f>'option 1 full implementation'!S68</f>
        <v>19885</v>
      </c>
      <c r="T68" s="3">
        <f>'option 1 full implementation'!T68</f>
        <v>0.39961816720257237</v>
      </c>
      <c r="U68">
        <f>'option 1 full implementation'!U68</f>
        <v>151</v>
      </c>
    </row>
    <row r="69" spans="2:21" x14ac:dyDescent="0.2">
      <c r="B69" t="s">
        <v>37</v>
      </c>
      <c r="C69" t="s">
        <v>34</v>
      </c>
      <c r="D69">
        <f>'option 1 full implementation'!D69</f>
        <v>17044</v>
      </c>
      <c r="E69">
        <f>'option 1 full implementation'!E69</f>
        <v>6716</v>
      </c>
      <c r="G69" s="10">
        <f t="shared" si="36"/>
        <v>71.734006734006741</v>
      </c>
      <c r="H69" s="1" t="s">
        <v>2</v>
      </c>
      <c r="I69" s="10">
        <f>G69+G70*(G69/(G68+G69))</f>
        <v>75.870213794541144</v>
      </c>
      <c r="J69" t="s">
        <v>2</v>
      </c>
      <c r="L69" t="str">
        <f t="shared" si="37"/>
        <v>75,9% of MED consumer litter consists of packaging</v>
      </c>
      <c r="R69" s="9" t="s">
        <v>59</v>
      </c>
      <c r="S69">
        <f>'option 1 full implementation'!S69</f>
        <v>631</v>
      </c>
      <c r="T69" s="3">
        <f>'option 1 full implementation'!T69</f>
        <v>1.2680868167202573E-2</v>
      </c>
      <c r="U69">
        <f>'option 1 full implementation'!U69</f>
        <v>7</v>
      </c>
    </row>
    <row r="70" spans="2:21" x14ac:dyDescent="0.2">
      <c r="B70" t="s">
        <v>37</v>
      </c>
      <c r="C70" t="s">
        <v>8</v>
      </c>
      <c r="D70">
        <f>'option 1 full implementation'!D70</f>
        <v>86</v>
      </c>
      <c r="E70">
        <f>'option 1 full implementation'!E70</f>
        <v>1365</v>
      </c>
      <c r="G70" s="10">
        <f t="shared" si="36"/>
        <v>5.9269469331495523</v>
      </c>
      <c r="H70" s="1" t="s">
        <v>2</v>
      </c>
      <c r="R70" s="9" t="s">
        <v>60</v>
      </c>
      <c r="S70">
        <f>'option 1 full implementation'!S70</f>
        <v>49760</v>
      </c>
      <c r="T70" s="3">
        <f>'option 1 full implementation'!T70</f>
        <v>1</v>
      </c>
    </row>
    <row r="71" spans="2:21" x14ac:dyDescent="0.2">
      <c r="B71" t="s">
        <v>13</v>
      </c>
      <c r="C71" t="s">
        <v>34</v>
      </c>
      <c r="I71" s="146">
        <f>'option 1 full implementation'!I71</f>
        <v>60.789731032131009</v>
      </c>
      <c r="J71" t="s">
        <v>2</v>
      </c>
      <c r="L71" t="str">
        <f t="shared" si="37"/>
        <v>60,8% of EU consumer litter consists of packaging</v>
      </c>
    </row>
    <row r="72" spans="2:21" x14ac:dyDescent="0.2">
      <c r="B72" t="s">
        <v>13</v>
      </c>
      <c r="C72" t="s">
        <v>7</v>
      </c>
      <c r="I72" s="148">
        <f>'option 1 full implementation'!I72</f>
        <v>7.3719774495337935</v>
      </c>
      <c r="J72" t="s">
        <v>2</v>
      </c>
      <c r="L72" t="str">
        <f t="shared" si="37"/>
        <v>7,4% of EU industrial litter consists of packaging</v>
      </c>
    </row>
    <row r="76" spans="2:21" x14ac:dyDescent="0.2">
      <c r="B76" s="84" t="s">
        <v>68</v>
      </c>
      <c r="C76" s="53"/>
    </row>
    <row r="77" spans="2:21" x14ac:dyDescent="0.2">
      <c r="B77" t="s">
        <v>184</v>
      </c>
    </row>
    <row r="79" spans="2:21" ht="14.25" x14ac:dyDescent="0.2">
      <c r="B79" s="12" t="s">
        <v>69</v>
      </c>
      <c r="C79" s="12" t="s">
        <v>70</v>
      </c>
      <c r="D79" s="12" t="s">
        <v>71</v>
      </c>
      <c r="E79" s="12" t="s">
        <v>72</v>
      </c>
      <c r="F79" s="12" t="s">
        <v>73</v>
      </c>
    </row>
    <row r="80" spans="2:21" ht="14.25" x14ac:dyDescent="0.2">
      <c r="B80" s="285">
        <f>'option 1 full implementation'!B93</f>
        <v>219</v>
      </c>
      <c r="C80" s="14" t="s">
        <v>35</v>
      </c>
      <c r="D80" s="14" t="s">
        <v>63</v>
      </c>
      <c r="E80" s="14" t="s">
        <v>32</v>
      </c>
      <c r="F80" s="14" t="s">
        <v>34</v>
      </c>
      <c r="H80" s="1">
        <f>B80/$B$86*100</f>
        <v>3.3973033008968847</v>
      </c>
    </row>
    <row r="81" spans="2:8" ht="14.25" x14ac:dyDescent="0.2">
      <c r="B81" s="285">
        <f>'option 1 full implementation'!B94</f>
        <v>1046.9933523266857</v>
      </c>
      <c r="C81" s="14" t="s">
        <v>35</v>
      </c>
      <c r="D81" s="14" t="s">
        <v>76</v>
      </c>
      <c r="E81" s="14" t="s">
        <v>32</v>
      </c>
      <c r="F81" s="14" t="s">
        <v>34</v>
      </c>
      <c r="H81" s="1">
        <f t="shared" ref="H81:H85" si="38">B81/$B$86*100</f>
        <v>16.241798958340382</v>
      </c>
    </row>
    <row r="82" spans="2:8" ht="14.25" x14ac:dyDescent="0.2">
      <c r="B82" s="285">
        <f>'option 1 full implementation'!B95</f>
        <v>426</v>
      </c>
      <c r="C82" s="14" t="s">
        <v>35</v>
      </c>
      <c r="D82" s="14" t="s">
        <v>77</v>
      </c>
      <c r="E82" s="14" t="s">
        <v>32</v>
      </c>
      <c r="F82" s="14" t="s">
        <v>34</v>
      </c>
      <c r="H82" s="1">
        <f t="shared" si="38"/>
        <v>6.6084529962651724</v>
      </c>
    </row>
    <row r="83" spans="2:8" ht="14.25" x14ac:dyDescent="0.2">
      <c r="B83" s="285">
        <f>'option 1 full implementation'!B96</f>
        <v>4296.2959719789842</v>
      </c>
      <c r="C83" s="14" t="s">
        <v>35</v>
      </c>
      <c r="D83" s="14" t="s">
        <v>78</v>
      </c>
      <c r="E83" s="14" t="s">
        <v>32</v>
      </c>
      <c r="F83" s="14" t="s">
        <v>34</v>
      </c>
      <c r="H83" s="1">
        <f t="shared" si="38"/>
        <v>66.647582133489465</v>
      </c>
    </row>
    <row r="84" spans="2:8" ht="14.25" x14ac:dyDescent="0.2">
      <c r="B84" s="285">
        <f>'option 1 full implementation'!B97</f>
        <v>229</v>
      </c>
      <c r="C84" s="14" t="s">
        <v>35</v>
      </c>
      <c r="D84" s="14" t="s">
        <v>79</v>
      </c>
      <c r="E84" s="14" t="s">
        <v>32</v>
      </c>
      <c r="F84" s="14" t="s">
        <v>34</v>
      </c>
      <c r="H84" s="1">
        <f t="shared" si="38"/>
        <v>3.5524313055040482</v>
      </c>
    </row>
    <row r="85" spans="2:8" ht="14.25" x14ac:dyDescent="0.2">
      <c r="B85" s="285">
        <f>'option 1 full implementation'!B98</f>
        <v>229</v>
      </c>
      <c r="C85" s="14" t="s">
        <v>35</v>
      </c>
      <c r="D85" s="14" t="s">
        <v>80</v>
      </c>
      <c r="E85" s="14" t="s">
        <v>32</v>
      </c>
      <c r="F85" s="14" t="s">
        <v>34</v>
      </c>
      <c r="H85" s="1">
        <f t="shared" si="38"/>
        <v>3.5524313055040482</v>
      </c>
    </row>
    <row r="86" spans="2:8" ht="14.25" x14ac:dyDescent="0.2">
      <c r="B86" s="278">
        <f>SUM(B80:B85)</f>
        <v>6446.2893243056697</v>
      </c>
      <c r="C86" s="14"/>
      <c r="D86" s="14"/>
      <c r="E86" s="14"/>
      <c r="F86" s="14"/>
      <c r="H86" s="16">
        <f>SUM(H80:H85)</f>
        <v>99.999999999999986</v>
      </c>
    </row>
    <row r="87" spans="2:8" ht="14.25" x14ac:dyDescent="0.2">
      <c r="B87" s="285">
        <f>'option 1 full implementation'!B100</f>
        <v>24</v>
      </c>
      <c r="C87" s="14" t="s">
        <v>36</v>
      </c>
      <c r="D87" s="14" t="s">
        <v>63</v>
      </c>
      <c r="E87" s="14" t="s">
        <v>32</v>
      </c>
      <c r="F87" s="14" t="s">
        <v>34</v>
      </c>
      <c r="H87" s="1">
        <f>B87/$B$93*100</f>
        <v>0.90739181920646006</v>
      </c>
    </row>
    <row r="88" spans="2:8" ht="14.25" x14ac:dyDescent="0.2">
      <c r="B88" s="285">
        <f>'option 1 full implementation'!B101</f>
        <v>482.94339622641508</v>
      </c>
      <c r="C88" s="14" t="s">
        <v>36</v>
      </c>
      <c r="D88" s="14" t="s">
        <v>76</v>
      </c>
      <c r="E88" s="14" t="s">
        <v>32</v>
      </c>
      <c r="F88" s="14" t="s">
        <v>34</v>
      </c>
      <c r="H88" s="1">
        <f>B88/$B$93*100</f>
        <v>18.259120286484713</v>
      </c>
    </row>
    <row r="89" spans="2:8" ht="14.25" x14ac:dyDescent="0.2">
      <c r="B89" s="285">
        <f>'option 1 full implementation'!B102</f>
        <v>44</v>
      </c>
      <c r="C89" s="14" t="s">
        <v>36</v>
      </c>
      <c r="D89" s="14" t="s">
        <v>77</v>
      </c>
      <c r="E89" s="14" t="s">
        <v>32</v>
      </c>
      <c r="F89" s="14" t="s">
        <v>34</v>
      </c>
      <c r="H89" s="1">
        <f t="shared" ref="H89:H92" si="39">B89/$B$93*100</f>
        <v>1.6635516685451768</v>
      </c>
    </row>
    <row r="90" spans="2:8" ht="14.25" x14ac:dyDescent="0.2">
      <c r="B90" s="285">
        <f>'option 1 full implementation'!B103</f>
        <v>2024</v>
      </c>
      <c r="C90" s="14" t="s">
        <v>36</v>
      </c>
      <c r="D90" s="14" t="s">
        <v>78</v>
      </c>
      <c r="E90" s="14" t="s">
        <v>32</v>
      </c>
      <c r="F90" s="14" t="s">
        <v>34</v>
      </c>
      <c r="H90" s="1">
        <f t="shared" si="39"/>
        <v>76.523376753078139</v>
      </c>
    </row>
    <row r="91" spans="2:8" ht="14.25" x14ac:dyDescent="0.2">
      <c r="B91" s="285">
        <f>'option 1 full implementation'!B104</f>
        <v>69</v>
      </c>
      <c r="C91" s="14" t="s">
        <v>36</v>
      </c>
      <c r="D91" s="14" t="s">
        <v>79</v>
      </c>
      <c r="E91" s="14" t="s">
        <v>32</v>
      </c>
      <c r="F91" s="14" t="s">
        <v>34</v>
      </c>
      <c r="H91" s="1">
        <f t="shared" si="39"/>
        <v>2.6087514802185732</v>
      </c>
    </row>
    <row r="92" spans="2:8" ht="14.25" x14ac:dyDescent="0.2">
      <c r="B92" s="285">
        <f>'option 1 full implementation'!B105</f>
        <v>1</v>
      </c>
      <c r="C92" s="14" t="s">
        <v>36</v>
      </c>
      <c r="D92" s="14" t="s">
        <v>80</v>
      </c>
      <c r="E92" s="14" t="s">
        <v>32</v>
      </c>
      <c r="F92" s="14" t="s">
        <v>34</v>
      </c>
      <c r="H92" s="1">
        <f t="shared" si="39"/>
        <v>3.7807992466935843E-2</v>
      </c>
    </row>
    <row r="93" spans="2:8" ht="14.25" x14ac:dyDescent="0.2">
      <c r="B93" s="278">
        <f>SUM(B87:B92)</f>
        <v>2644.9433962264152</v>
      </c>
      <c r="C93" s="14"/>
      <c r="D93" s="14"/>
      <c r="E93" s="14"/>
      <c r="F93" s="14"/>
      <c r="H93" s="16">
        <f>SUM(H87:H92)</f>
        <v>100</v>
      </c>
    </row>
    <row r="94" spans="2:8" ht="14.25" x14ac:dyDescent="0.2">
      <c r="B94" s="285">
        <f>'option 1 full implementation'!B107</f>
        <v>923</v>
      </c>
      <c r="C94" s="14" t="s">
        <v>37</v>
      </c>
      <c r="D94" s="14" t="s">
        <v>63</v>
      </c>
      <c r="E94" s="14" t="s">
        <v>32</v>
      </c>
      <c r="F94" s="14" t="s">
        <v>34</v>
      </c>
      <c r="H94" s="1">
        <f>B94/$B$100*100</f>
        <v>5.3898006523170325</v>
      </c>
    </row>
    <row r="95" spans="2:8" ht="14.25" x14ac:dyDescent="0.2">
      <c r="B95" s="285">
        <f>'option 1 full implementation'!B108</f>
        <v>512</v>
      </c>
      <c r="C95" s="14" t="s">
        <v>37</v>
      </c>
      <c r="D95" s="14" t="s">
        <v>76</v>
      </c>
      <c r="E95" s="14" t="s">
        <v>32</v>
      </c>
      <c r="F95" s="14" t="s">
        <v>34</v>
      </c>
      <c r="H95" s="1">
        <f t="shared" ref="H95:H99" si="40">B95/$B$100*100</f>
        <v>2.9897919111444424</v>
      </c>
    </row>
    <row r="96" spans="2:8" ht="14.25" x14ac:dyDescent="0.2">
      <c r="B96" s="285">
        <f>'option 1 full implementation'!B109</f>
        <v>1597</v>
      </c>
      <c r="C96" s="14" t="s">
        <v>37</v>
      </c>
      <c r="D96" s="14" t="s">
        <v>77</v>
      </c>
      <c r="E96" s="14" t="s">
        <v>32</v>
      </c>
      <c r="F96" s="14" t="s">
        <v>34</v>
      </c>
      <c r="H96" s="1">
        <f t="shared" si="40"/>
        <v>9.3255814103470218</v>
      </c>
    </row>
    <row r="97" spans="2:8" ht="14.25" x14ac:dyDescent="0.2">
      <c r="B97" s="285">
        <f>'option 1 full implementation'!B110</f>
        <v>14022.937628318585</v>
      </c>
      <c r="C97" s="14" t="s">
        <v>37</v>
      </c>
      <c r="D97" s="14" t="s">
        <v>78</v>
      </c>
      <c r="E97" s="14" t="s">
        <v>32</v>
      </c>
      <c r="F97" s="14" t="s">
        <v>34</v>
      </c>
      <c r="H97" s="1">
        <f t="shared" si="40"/>
        <v>81.886065413339722</v>
      </c>
    </row>
    <row r="98" spans="2:8" ht="14.25" x14ac:dyDescent="0.2">
      <c r="B98" s="285">
        <f>'option 1 full implementation'!B111</f>
        <v>38</v>
      </c>
      <c r="C98" s="14" t="s">
        <v>37</v>
      </c>
      <c r="D98" s="14" t="s">
        <v>79</v>
      </c>
      <c r="E98" s="14" t="s">
        <v>32</v>
      </c>
      <c r="F98" s="14" t="s">
        <v>34</v>
      </c>
      <c r="H98" s="1">
        <f t="shared" si="40"/>
        <v>0.2218986184052516</v>
      </c>
    </row>
    <row r="99" spans="2:8" ht="14.25" x14ac:dyDescent="0.2">
      <c r="B99" s="285">
        <f>'option 1 full implementation'!B112</f>
        <v>32</v>
      </c>
      <c r="C99" s="14" t="s">
        <v>37</v>
      </c>
      <c r="D99" s="14" t="s">
        <v>80</v>
      </c>
      <c r="E99" s="14" t="s">
        <v>32</v>
      </c>
      <c r="F99" s="14" t="s">
        <v>34</v>
      </c>
      <c r="H99" s="1">
        <f t="shared" si="40"/>
        <v>0.18686199444652765</v>
      </c>
    </row>
    <row r="100" spans="2:8" ht="14.25" x14ac:dyDescent="0.2">
      <c r="B100" s="278">
        <f>SUM(B94:B99)</f>
        <v>17124.937628318585</v>
      </c>
      <c r="C100" s="14"/>
      <c r="D100" s="14"/>
      <c r="E100" s="14"/>
      <c r="F100" s="14"/>
      <c r="H100" s="16">
        <f>SUM(H94:H99)</f>
        <v>100</v>
      </c>
    </row>
    <row r="101" spans="2:8" ht="14.25" x14ac:dyDescent="0.2">
      <c r="B101" s="285">
        <f>'option 1 full implementation'!B114</f>
        <v>171</v>
      </c>
      <c r="C101" s="14" t="s">
        <v>31</v>
      </c>
      <c r="D101" s="14" t="s">
        <v>63</v>
      </c>
      <c r="E101" s="14" t="s">
        <v>32</v>
      </c>
      <c r="F101" s="14" t="s">
        <v>34</v>
      </c>
      <c r="H101" s="1">
        <f>B101/$B$107*100</f>
        <v>0.89511083776975808</v>
      </c>
    </row>
    <row r="102" spans="2:8" ht="14.25" x14ac:dyDescent="0.2">
      <c r="B102" s="285">
        <f>'option 1 full implementation'!B115</f>
        <v>747.52475247524751</v>
      </c>
      <c r="C102" s="14" t="s">
        <v>31</v>
      </c>
      <c r="D102" s="14" t="s">
        <v>76</v>
      </c>
      <c r="E102" s="14" t="s">
        <v>32</v>
      </c>
      <c r="F102" s="14" t="s">
        <v>34</v>
      </c>
      <c r="H102" s="1">
        <f t="shared" ref="H102:H106" si="41">B102/$B$107*100</f>
        <v>3.912967879776315</v>
      </c>
    </row>
    <row r="103" spans="2:8" ht="14.25" x14ac:dyDescent="0.2">
      <c r="B103" s="285">
        <f>'option 1 full implementation'!B116</f>
        <v>391</v>
      </c>
      <c r="C103" s="14" t="s">
        <v>31</v>
      </c>
      <c r="D103" s="14" t="s">
        <v>77</v>
      </c>
      <c r="E103" s="14" t="s">
        <v>32</v>
      </c>
      <c r="F103" s="14" t="s">
        <v>34</v>
      </c>
      <c r="H103" s="1">
        <f t="shared" si="41"/>
        <v>2.0467154243741255</v>
      </c>
    </row>
    <row r="104" spans="2:8" ht="14.25" x14ac:dyDescent="0.2">
      <c r="B104" s="285">
        <f>'option 1 full implementation'!B117</f>
        <v>17423.254666178702</v>
      </c>
      <c r="C104" s="14" t="s">
        <v>31</v>
      </c>
      <c r="D104" s="14" t="s">
        <v>78</v>
      </c>
      <c r="E104" s="14" t="s">
        <v>32</v>
      </c>
      <c r="F104" s="14" t="s">
        <v>34</v>
      </c>
      <c r="H104" s="1">
        <f t="shared" si="41"/>
        <v>91.203181759760611</v>
      </c>
    </row>
    <row r="105" spans="2:8" ht="14.25" x14ac:dyDescent="0.2">
      <c r="B105" s="285">
        <f>'option 1 full implementation'!B118</f>
        <v>312</v>
      </c>
      <c r="C105" s="14" t="s">
        <v>31</v>
      </c>
      <c r="D105" s="14" t="s">
        <v>79</v>
      </c>
      <c r="E105" s="14" t="s">
        <v>32</v>
      </c>
      <c r="F105" s="14" t="s">
        <v>34</v>
      </c>
      <c r="H105" s="1">
        <f t="shared" si="41"/>
        <v>1.6331846864571027</v>
      </c>
    </row>
    <row r="106" spans="2:8" ht="14.25" x14ac:dyDescent="0.2">
      <c r="B106" s="285">
        <f>'option 1 full implementation'!B119</f>
        <v>59</v>
      </c>
      <c r="C106" s="14" t="s">
        <v>31</v>
      </c>
      <c r="D106" s="14" t="s">
        <v>80</v>
      </c>
      <c r="E106" s="14" t="s">
        <v>32</v>
      </c>
      <c r="F106" s="14" t="s">
        <v>34</v>
      </c>
      <c r="H106" s="1">
        <f t="shared" si="41"/>
        <v>0.3088394118620803</v>
      </c>
    </row>
    <row r="107" spans="2:8" ht="14.25" x14ac:dyDescent="0.2">
      <c r="B107" s="278">
        <f>SUM(B101:B106)</f>
        <v>19103.77941865395</v>
      </c>
      <c r="C107" s="14"/>
      <c r="D107" s="14"/>
      <c r="E107" s="14"/>
      <c r="F107" s="14"/>
      <c r="H107" s="16">
        <f>SUM(H101:H106)</f>
        <v>99.999999999999986</v>
      </c>
    </row>
    <row r="108" spans="2:8" ht="14.25" x14ac:dyDescent="0.2">
      <c r="B108" s="285">
        <f>'option 1 full implementation'!B121</f>
        <v>2</v>
      </c>
      <c r="C108" s="14" t="s">
        <v>35</v>
      </c>
      <c r="D108" s="14" t="s">
        <v>74</v>
      </c>
      <c r="E108" s="14" t="s">
        <v>32</v>
      </c>
      <c r="F108" s="14" t="s">
        <v>75</v>
      </c>
      <c r="H108" s="1">
        <f>B108/$B$113*100</f>
        <v>0.16670686028883624</v>
      </c>
    </row>
    <row r="109" spans="2:8" ht="14.25" x14ac:dyDescent="0.2">
      <c r="B109" s="285">
        <f>'option 1 full implementation'!B122</f>
        <v>7.0066476733143404</v>
      </c>
      <c r="C109" s="14" t="s">
        <v>35</v>
      </c>
      <c r="D109" s="14" t="s">
        <v>76</v>
      </c>
      <c r="E109" s="14" t="s">
        <v>32</v>
      </c>
      <c r="F109" s="14" t="s">
        <v>75</v>
      </c>
      <c r="H109" s="1">
        <f t="shared" ref="H109:H112" si="42">B109/$B$113*100</f>
        <v>0.5840281173841565</v>
      </c>
    </row>
    <row r="110" spans="2:8" ht="14.25" x14ac:dyDescent="0.2">
      <c r="B110" s="285">
        <f>'option 1 full implementation'!B123</f>
        <v>237</v>
      </c>
      <c r="C110" s="14" t="s">
        <v>35</v>
      </c>
      <c r="D110" s="14" t="s">
        <v>77</v>
      </c>
      <c r="E110" s="14" t="s">
        <v>32</v>
      </c>
      <c r="F110" s="14" t="s">
        <v>75</v>
      </c>
      <c r="H110" s="1">
        <f t="shared" si="42"/>
        <v>19.754762944227092</v>
      </c>
    </row>
    <row r="111" spans="2:8" ht="14.25" x14ac:dyDescent="0.2">
      <c r="B111" s="285">
        <f>'option 1 full implementation'!B124</f>
        <v>463.70402802101574</v>
      </c>
      <c r="C111" s="14" t="s">
        <v>35</v>
      </c>
      <c r="D111" s="14" t="s">
        <v>78</v>
      </c>
      <c r="E111" s="14" t="s">
        <v>32</v>
      </c>
      <c r="F111" s="14" t="s">
        <v>75</v>
      </c>
      <c r="H111" s="1">
        <f t="shared" si="42"/>
        <v>38.651321307335031</v>
      </c>
    </row>
    <row r="112" spans="2:8" ht="14.25" x14ac:dyDescent="0.2">
      <c r="B112" s="285">
        <f>'option 1 full implementation'!B125</f>
        <v>490</v>
      </c>
      <c r="C112" s="14" t="s">
        <v>35</v>
      </c>
      <c r="D112" s="14" t="s">
        <v>79</v>
      </c>
      <c r="E112" s="14" t="s">
        <v>32</v>
      </c>
      <c r="F112" s="14" t="s">
        <v>75</v>
      </c>
      <c r="H112" s="1">
        <f t="shared" si="42"/>
        <v>40.843180770764874</v>
      </c>
    </row>
    <row r="113" spans="2:9" ht="14.25" x14ac:dyDescent="0.2">
      <c r="B113" s="278">
        <f>SUM(B108:B112)</f>
        <v>1199.7106756943301</v>
      </c>
      <c r="C113" s="14"/>
      <c r="D113" s="14"/>
      <c r="E113" s="14"/>
      <c r="F113" s="14"/>
      <c r="H113" s="16">
        <f>SUM(H108:H112)</f>
        <v>100</v>
      </c>
    </row>
    <row r="114" spans="2:9" ht="14.25" x14ac:dyDescent="0.2">
      <c r="B114" s="285">
        <f>'option 1 full implementation'!B127</f>
        <v>3</v>
      </c>
      <c r="C114" s="14" t="s">
        <v>36</v>
      </c>
      <c r="D114" s="14" t="s">
        <v>76</v>
      </c>
      <c r="E114" s="14" t="s">
        <v>32</v>
      </c>
      <c r="F114" s="14" t="s">
        <v>75</v>
      </c>
      <c r="H114" s="1">
        <f>B114/$B$116*100</f>
        <v>20</v>
      </c>
    </row>
    <row r="115" spans="2:9" ht="14.25" x14ac:dyDescent="0.2">
      <c r="B115" s="285">
        <f>'option 1 full implementation'!B128</f>
        <v>12</v>
      </c>
      <c r="C115" s="14" t="s">
        <v>36</v>
      </c>
      <c r="D115" s="14" t="s">
        <v>77</v>
      </c>
      <c r="E115" s="14" t="s">
        <v>32</v>
      </c>
      <c r="F115" s="14" t="s">
        <v>75</v>
      </c>
      <c r="H115" s="1">
        <f>B115/$B$116*100</f>
        <v>80</v>
      </c>
    </row>
    <row r="116" spans="2:9" ht="14.25" x14ac:dyDescent="0.2">
      <c r="B116" s="278">
        <f>SUM(B114:B115)</f>
        <v>15</v>
      </c>
      <c r="C116" s="14"/>
      <c r="D116" s="14"/>
      <c r="E116" s="14"/>
      <c r="F116" s="14"/>
      <c r="H116" s="16">
        <f>SUM(H114:H115)</f>
        <v>100</v>
      </c>
    </row>
    <row r="117" spans="2:9" ht="14.25" x14ac:dyDescent="0.2">
      <c r="B117" s="285">
        <f>'option 1 full implementation'!B132</f>
        <v>38</v>
      </c>
      <c r="C117" s="14" t="s">
        <v>37</v>
      </c>
      <c r="D117" s="14" t="s">
        <v>77</v>
      </c>
      <c r="E117" s="14" t="s">
        <v>32</v>
      </c>
      <c r="F117" s="14" t="s">
        <v>75</v>
      </c>
      <c r="H117" s="1">
        <f>B117/$B$120*100</f>
        <v>15.698433315365806</v>
      </c>
    </row>
    <row r="118" spans="2:9" ht="14.25" x14ac:dyDescent="0.2">
      <c r="B118" s="285">
        <f>'option 1 full implementation'!B133</f>
        <v>184.06237168141593</v>
      </c>
      <c r="C118" s="14" t="s">
        <v>37</v>
      </c>
      <c r="D118" s="14" t="s">
        <v>78</v>
      </c>
      <c r="E118" s="14" t="s">
        <v>32</v>
      </c>
      <c r="F118" s="14" t="s">
        <v>75</v>
      </c>
      <c r="H118" s="1">
        <f t="shared" ref="H118:H119" si="43">B118/$B$120*100</f>
        <v>76.03923336075745</v>
      </c>
    </row>
    <row r="119" spans="2:9" ht="14.25" x14ac:dyDescent="0.2">
      <c r="B119" s="285">
        <f>'option 1 full implementation'!B134</f>
        <v>20</v>
      </c>
      <c r="C119" s="14" t="s">
        <v>37</v>
      </c>
      <c r="D119" s="14" t="s">
        <v>79</v>
      </c>
      <c r="E119" s="14" t="s">
        <v>32</v>
      </c>
      <c r="F119" s="14" t="s">
        <v>75</v>
      </c>
      <c r="H119" s="1">
        <f t="shared" si="43"/>
        <v>8.2623333238767405</v>
      </c>
    </row>
    <row r="120" spans="2:9" ht="14.25" x14ac:dyDescent="0.2">
      <c r="B120" s="278">
        <f>SUM(B117:B119)</f>
        <v>242.06237168141593</v>
      </c>
      <c r="C120" s="14"/>
      <c r="D120" s="14"/>
      <c r="E120" s="14"/>
      <c r="F120" s="14"/>
      <c r="H120" s="16">
        <f>SUM(H117:H119)</f>
        <v>100</v>
      </c>
    </row>
    <row r="121" spans="2:9" ht="14.25" x14ac:dyDescent="0.2">
      <c r="B121" s="285">
        <f>'option 1 full implementation'!B136</f>
        <v>33</v>
      </c>
      <c r="C121" s="14" t="s">
        <v>31</v>
      </c>
      <c r="D121" s="14" t="s">
        <v>74</v>
      </c>
      <c r="E121" s="14" t="s">
        <v>32</v>
      </c>
      <c r="F121" s="14" t="s">
        <v>75</v>
      </c>
      <c r="H121" s="1">
        <f>B121/$B$126*100</f>
        <v>1.3032040037546095</v>
      </c>
    </row>
    <row r="122" spans="2:9" ht="14.25" x14ac:dyDescent="0.2">
      <c r="B122" s="285">
        <f>'option 1 full implementation'!B137</f>
        <v>7.4752475247524757</v>
      </c>
      <c r="C122" s="14" t="s">
        <v>31</v>
      </c>
      <c r="D122" s="14" t="s">
        <v>76</v>
      </c>
      <c r="E122" s="14" t="s">
        <v>32</v>
      </c>
      <c r="F122" s="14" t="s">
        <v>75</v>
      </c>
      <c r="H122" s="1">
        <f t="shared" ref="H122:H125" si="44">B122/$B$126*100</f>
        <v>0.29520522737315635</v>
      </c>
    </row>
    <row r="123" spans="2:9" ht="14.25" x14ac:dyDescent="0.2">
      <c r="B123" s="285">
        <f>'option 1 full implementation'!B138</f>
        <v>61</v>
      </c>
      <c r="C123" s="14" t="s">
        <v>31</v>
      </c>
      <c r="D123" s="14" t="s">
        <v>77</v>
      </c>
      <c r="E123" s="14" t="s">
        <v>32</v>
      </c>
      <c r="F123" s="14" t="s">
        <v>75</v>
      </c>
      <c r="H123" s="1">
        <f t="shared" si="44"/>
        <v>2.4089528554251873</v>
      </c>
    </row>
    <row r="124" spans="2:9" ht="14.25" x14ac:dyDescent="0.2">
      <c r="B124" s="285">
        <f>'option 1 full implementation'!B139</f>
        <v>2244.7453338212999</v>
      </c>
      <c r="C124" s="14" t="s">
        <v>31</v>
      </c>
      <c r="D124" s="14" t="s">
        <v>78</v>
      </c>
      <c r="E124" s="14" t="s">
        <v>32</v>
      </c>
      <c r="F124" s="14" t="s">
        <v>75</v>
      </c>
      <c r="H124" s="1">
        <f t="shared" si="44"/>
        <v>88.647306255921066</v>
      </c>
    </row>
    <row r="125" spans="2:9" ht="14.25" x14ac:dyDescent="0.2">
      <c r="B125" s="285">
        <f>'option 1 full implementation'!B140</f>
        <v>186</v>
      </c>
      <c r="C125" s="14" t="s">
        <v>31</v>
      </c>
      <c r="D125" s="14" t="s">
        <v>79</v>
      </c>
      <c r="E125" s="14" t="s">
        <v>32</v>
      </c>
      <c r="F125" s="14" t="s">
        <v>75</v>
      </c>
      <c r="H125" s="1">
        <f t="shared" si="44"/>
        <v>7.3453316575259802</v>
      </c>
    </row>
    <row r="126" spans="2:9" ht="14.25" x14ac:dyDescent="0.2">
      <c r="B126" s="278">
        <f>SUM(B121:B125)</f>
        <v>2532.2205813460523</v>
      </c>
      <c r="C126" s="14"/>
      <c r="D126" s="14"/>
      <c r="E126" s="14"/>
      <c r="F126" s="14"/>
      <c r="H126" s="16">
        <f>SUM(H121:H125)</f>
        <v>100</v>
      </c>
    </row>
    <row r="127" spans="2:9" ht="14.25" x14ac:dyDescent="0.2">
      <c r="B127" s="13"/>
      <c r="C127" s="14"/>
      <c r="D127" s="14"/>
      <c r="E127" s="14"/>
      <c r="F127" s="14"/>
    </row>
    <row r="128" spans="2:9" ht="14.25" x14ac:dyDescent="0.2">
      <c r="B128" s="13" t="s">
        <v>34</v>
      </c>
      <c r="C128" s="14" t="s">
        <v>81</v>
      </c>
      <c r="D128" s="14" t="s">
        <v>62</v>
      </c>
      <c r="E128" s="14"/>
      <c r="F128" s="14"/>
      <c r="H128" s="149">
        <f>'option 1 full implementation'!H143</f>
        <v>83.057979393622716</v>
      </c>
      <c r="I128" t="s">
        <v>2</v>
      </c>
    </row>
    <row r="129" spans="2:9" ht="14.25" x14ac:dyDescent="0.2">
      <c r="B129" s="15"/>
      <c r="C129" s="14"/>
      <c r="D129" s="14" t="s">
        <v>63</v>
      </c>
      <c r="E129" s="14"/>
      <c r="F129" s="14"/>
      <c r="H129" s="150">
        <f>'option 1 full implementation'!H144</f>
        <v>4.2372390540296649</v>
      </c>
      <c r="I129" t="s">
        <v>2</v>
      </c>
    </row>
    <row r="130" spans="2:9" ht="14.25" x14ac:dyDescent="0.2">
      <c r="B130" s="13"/>
      <c r="C130" s="14"/>
      <c r="D130" s="14" t="s">
        <v>76</v>
      </c>
      <c r="E130" s="14"/>
      <c r="F130" s="14"/>
      <c r="H130" s="150">
        <f>'option 1 full implementation'!H145</f>
        <v>4.1280488678999632</v>
      </c>
      <c r="I130" t="s">
        <v>2</v>
      </c>
    </row>
    <row r="131" spans="2:9" ht="14.25" x14ac:dyDescent="0.2">
      <c r="B131" s="13"/>
      <c r="C131" s="14"/>
      <c r="D131" s="14" t="s">
        <v>65</v>
      </c>
      <c r="E131" s="14"/>
      <c r="F131" s="14"/>
      <c r="H131" s="150">
        <f>'option 1 full implementation'!H146</f>
        <v>7.4750323704561428</v>
      </c>
      <c r="I131" t="s">
        <v>2</v>
      </c>
    </row>
    <row r="132" spans="2:9" ht="14.25" x14ac:dyDescent="0.2">
      <c r="B132" s="13"/>
      <c r="C132" s="14"/>
      <c r="D132" s="14" t="s">
        <v>106</v>
      </c>
      <c r="E132" s="14"/>
      <c r="F132" s="14"/>
      <c r="H132" s="150">
        <f>'option 1 full implementation'!H147</f>
        <v>0.7320328104678786</v>
      </c>
      <c r="I132" t="s">
        <v>2</v>
      </c>
    </row>
    <row r="133" spans="2:9" ht="14.25" x14ac:dyDescent="0.2">
      <c r="B133" s="15"/>
      <c r="C133" s="14"/>
      <c r="D133" s="14" t="s">
        <v>82</v>
      </c>
      <c r="E133" s="14"/>
      <c r="F133" s="14"/>
      <c r="H133" s="151">
        <f>'option 1 full implementation'!H148</f>
        <v>0.36966750352363531</v>
      </c>
      <c r="I133" t="s">
        <v>2</v>
      </c>
    </row>
    <row r="134" spans="2:9" ht="14.25" x14ac:dyDescent="0.2">
      <c r="B134" s="13"/>
      <c r="C134" s="14"/>
      <c r="D134" s="14"/>
      <c r="E134" s="14"/>
      <c r="F134" s="14"/>
      <c r="H134" s="1">
        <f>SUM(H128:H133)</f>
        <v>100.00000000000001</v>
      </c>
    </row>
    <row r="135" spans="2:9" ht="14.25" x14ac:dyDescent="0.2">
      <c r="B135" s="13"/>
      <c r="C135" s="14"/>
      <c r="D135" s="14"/>
      <c r="E135" s="14"/>
      <c r="F135" s="14"/>
    </row>
    <row r="136" spans="2:9" ht="14.25" x14ac:dyDescent="0.2">
      <c r="B136" s="13" t="s">
        <v>7</v>
      </c>
      <c r="C136" s="14" t="s">
        <v>81</v>
      </c>
      <c r="D136" s="14" t="s">
        <v>62</v>
      </c>
      <c r="E136" s="14"/>
      <c r="F136" s="14"/>
      <c r="H136" s="149">
        <f>'option 1 full implementation'!H151</f>
        <v>76.266452509653249</v>
      </c>
      <c r="I136" t="s">
        <v>2</v>
      </c>
    </row>
    <row r="137" spans="2:9" ht="14.25" x14ac:dyDescent="0.2">
      <c r="B137" s="15"/>
      <c r="C137" s="14"/>
      <c r="D137" s="14" t="s">
        <v>63</v>
      </c>
      <c r="E137" s="14"/>
      <c r="F137" s="14"/>
      <c r="H137" s="150">
        <f>'option 1 full implementation'!H152</f>
        <v>0</v>
      </c>
      <c r="I137" t="s">
        <v>2</v>
      </c>
    </row>
    <row r="138" spans="2:9" ht="14.25" x14ac:dyDescent="0.2">
      <c r="B138" s="13"/>
      <c r="C138" s="14"/>
      <c r="D138" s="14" t="s">
        <v>76</v>
      </c>
      <c r="E138" s="14"/>
      <c r="F138" s="14"/>
      <c r="H138" s="150">
        <f>'option 1 full implementation'!H153</f>
        <v>0.68158711500309332</v>
      </c>
      <c r="I138" t="s">
        <v>2</v>
      </c>
    </row>
    <row r="139" spans="2:9" ht="14.25" x14ac:dyDescent="0.2">
      <c r="B139" s="13"/>
      <c r="C139" s="14"/>
      <c r="D139" s="14" t="s">
        <v>65</v>
      </c>
      <c r="E139" s="14"/>
      <c r="F139" s="14"/>
      <c r="H139" s="150">
        <f>'option 1 full implementation'!H154</f>
        <v>8.5929065463644907</v>
      </c>
      <c r="I139" t="s">
        <v>2</v>
      </c>
    </row>
    <row r="140" spans="2:9" ht="14.25" x14ac:dyDescent="0.2">
      <c r="B140" s="13"/>
      <c r="C140" s="14"/>
      <c r="D140" s="14" t="s">
        <v>106</v>
      </c>
      <c r="E140" s="21"/>
      <c r="F140" s="21"/>
      <c r="H140" s="150">
        <f>'option 1 full implementation'!H155</f>
        <v>13.652331592648871</v>
      </c>
      <c r="I140" t="s">
        <v>2</v>
      </c>
    </row>
    <row r="141" spans="2:9" ht="14.25" x14ac:dyDescent="0.2">
      <c r="B141" s="15"/>
      <c r="C141" s="14"/>
      <c r="D141" s="14" t="s">
        <v>82</v>
      </c>
      <c r="H141" s="151">
        <f>'option 1 full implementation'!H156</f>
        <v>0.80672223633030016</v>
      </c>
      <c r="I141" t="s">
        <v>2</v>
      </c>
    </row>
    <row r="142" spans="2:9" x14ac:dyDescent="0.2">
      <c r="H142" s="1">
        <f>SUM(H136:H141)</f>
        <v>100</v>
      </c>
      <c r="I142" t="s">
        <v>2</v>
      </c>
    </row>
    <row r="146" spans="2:18" s="53" customFormat="1" x14ac:dyDescent="0.2">
      <c r="B146" s="84" t="s">
        <v>85</v>
      </c>
      <c r="H146" s="54"/>
      <c r="R146" s="54"/>
    </row>
    <row r="147" spans="2:18" s="53" customFormat="1" x14ac:dyDescent="0.2">
      <c r="B147" s="84"/>
      <c r="H147" s="54"/>
      <c r="R147" s="54"/>
    </row>
    <row r="148" spans="2:18" s="53" customFormat="1" x14ac:dyDescent="0.2">
      <c r="B148" s="53" t="s">
        <v>184</v>
      </c>
      <c r="D148" s="53">
        <v>2012</v>
      </c>
      <c r="E148" s="53">
        <v>2020</v>
      </c>
      <c r="H148" s="54"/>
      <c r="R148" s="54"/>
    </row>
    <row r="149" spans="2:18" s="53" customFormat="1" x14ac:dyDescent="0.2">
      <c r="B149" s="53" t="s">
        <v>86</v>
      </c>
      <c r="D149" s="55">
        <f>'option 1 full implementation'!D163</f>
        <v>34.3115250426887</v>
      </c>
      <c r="E149" s="170">
        <f>'option 1 full implementation'!E163</f>
        <v>34.3115250426887</v>
      </c>
      <c r="F149" s="170"/>
      <c r="G149" s="170"/>
      <c r="H149" s="54"/>
      <c r="R149" s="54"/>
    </row>
    <row r="150" spans="2:18" s="53" customFormat="1" x14ac:dyDescent="0.2">
      <c r="B150" s="53" t="s">
        <v>87</v>
      </c>
      <c r="D150" s="55">
        <f>'option 1 full implementation'!D164</f>
        <v>71.162589235423198</v>
      </c>
      <c r="E150" s="170">
        <f>'option 1 full implementation'!E164</f>
        <v>71.162589235423198</v>
      </c>
      <c r="F150" s="170"/>
      <c r="G150" s="170"/>
      <c r="H150" s="54"/>
      <c r="R150" s="54"/>
    </row>
    <row r="151" spans="2:18" s="53" customFormat="1" x14ac:dyDescent="0.2">
      <c r="B151" s="53" t="s">
        <v>88</v>
      </c>
      <c r="D151" s="55">
        <f>'option 1 full implementation'!D165</f>
        <v>72.277569276209135</v>
      </c>
      <c r="E151" s="170">
        <f>'option 1 full implementation'!E165</f>
        <v>72.277569276209135</v>
      </c>
      <c r="F151" s="170"/>
      <c r="G151" s="170"/>
      <c r="H151" s="54"/>
      <c r="R151" s="54"/>
    </row>
    <row r="152" spans="2:18" s="53" customFormat="1" x14ac:dyDescent="0.2">
      <c r="B152" s="53" t="s">
        <v>89</v>
      </c>
      <c r="D152" s="55">
        <f>'option 1 full implementation'!D166</f>
        <v>82.956538079896461</v>
      </c>
      <c r="E152" s="170">
        <f>'option 1 full implementation'!E166</f>
        <v>82.956538079896461</v>
      </c>
      <c r="F152" s="170"/>
      <c r="G152" s="170"/>
      <c r="H152" s="54"/>
      <c r="R152" s="54"/>
    </row>
    <row r="153" spans="2:18" s="53" customFormat="1" x14ac:dyDescent="0.2">
      <c r="B153" s="53" t="s">
        <v>104</v>
      </c>
      <c r="D153" s="55">
        <f>'option 1 full implementation'!D167</f>
        <v>37.687432530831366</v>
      </c>
      <c r="E153" s="170">
        <f>'option 1 full implementation'!E167</f>
        <v>37.687432530831366</v>
      </c>
      <c r="F153" s="170"/>
      <c r="G153" s="170"/>
      <c r="H153" s="54"/>
      <c r="R153" s="54"/>
    </row>
    <row r="154" spans="2:18" s="53" customFormat="1" x14ac:dyDescent="0.2">
      <c r="H154" s="54"/>
      <c r="R154" s="54"/>
    </row>
    <row r="155" spans="2:18" s="53" customFormat="1" x14ac:dyDescent="0.2">
      <c r="B155" s="53" t="s">
        <v>23</v>
      </c>
      <c r="D155" s="54">
        <v>2012</v>
      </c>
      <c r="E155" s="54">
        <v>2020</v>
      </c>
      <c r="O155" s="54"/>
    </row>
    <row r="156" spans="2:18" s="53" customFormat="1" x14ac:dyDescent="0.2">
      <c r="F156" s="53" t="s">
        <v>24</v>
      </c>
      <c r="G156" s="53" t="s">
        <v>197</v>
      </c>
      <c r="H156" s="53" t="s">
        <v>90</v>
      </c>
      <c r="I156" s="54"/>
      <c r="J156" s="129"/>
      <c r="K156" s="129"/>
      <c r="L156" s="129"/>
      <c r="M156" s="129"/>
      <c r="N156" s="129"/>
      <c r="O156" s="171"/>
    </row>
    <row r="157" spans="2:18" s="53" customFormat="1" x14ac:dyDescent="0.2">
      <c r="B157" s="53" t="str">
        <f>B149</f>
        <v>plastic packaging</v>
      </c>
      <c r="D157" s="55">
        <f t="shared" ref="D157:E159" si="45">100-D149</f>
        <v>65.6884749573113</v>
      </c>
      <c r="E157" s="55">
        <f t="shared" si="45"/>
        <v>65.6884749573113</v>
      </c>
      <c r="F157" s="55">
        <f>D157-E157</f>
        <v>0</v>
      </c>
      <c r="G157" s="55">
        <f>F157/D157*100</f>
        <v>0</v>
      </c>
      <c r="H157" s="175">
        <f>IF(G157&lt;0,0,F157)</f>
        <v>0</v>
      </c>
      <c r="I157" s="54" t="s">
        <v>2</v>
      </c>
      <c r="J157" s="170"/>
      <c r="K157" s="129"/>
      <c r="L157" s="170"/>
      <c r="M157" s="170"/>
      <c r="N157" s="129"/>
      <c r="O157" s="171"/>
    </row>
    <row r="158" spans="2:18" s="53" customFormat="1" x14ac:dyDescent="0.2">
      <c r="B158" s="53" t="str">
        <f>B150</f>
        <v>glass packaging</v>
      </c>
      <c r="D158" s="55">
        <f t="shared" si="45"/>
        <v>28.837410764576802</v>
      </c>
      <c r="E158" s="55">
        <f t="shared" si="45"/>
        <v>28.837410764576802</v>
      </c>
      <c r="F158" s="55">
        <f>D158-E158</f>
        <v>0</v>
      </c>
      <c r="G158" s="55">
        <f t="shared" ref="G158:G161" si="46">F158/D158*100</f>
        <v>0</v>
      </c>
      <c r="H158" s="176">
        <f t="shared" ref="H158:H161" si="47">IF(G158&lt;0,0,F158)</f>
        <v>0</v>
      </c>
      <c r="I158" s="54" t="s">
        <v>2</v>
      </c>
      <c r="J158" s="170"/>
      <c r="K158" s="129"/>
      <c r="L158" s="170"/>
      <c r="M158" s="170"/>
      <c r="N158" s="129"/>
      <c r="O158" s="171"/>
    </row>
    <row r="159" spans="2:18" s="53" customFormat="1" x14ac:dyDescent="0.2">
      <c r="B159" s="53" t="str">
        <f>B151</f>
        <v>metal packaging</v>
      </c>
      <c r="D159" s="55">
        <f t="shared" si="45"/>
        <v>27.722430723790865</v>
      </c>
      <c r="E159" s="55">
        <f t="shared" si="45"/>
        <v>27.722430723790865</v>
      </c>
      <c r="F159" s="55">
        <f>D159-E159</f>
        <v>0</v>
      </c>
      <c r="G159" s="55">
        <f t="shared" si="46"/>
        <v>0</v>
      </c>
      <c r="H159" s="176">
        <f t="shared" si="47"/>
        <v>0</v>
      </c>
      <c r="I159" s="54" t="s">
        <v>2</v>
      </c>
      <c r="J159" s="170"/>
      <c r="K159" s="129"/>
      <c r="L159" s="170"/>
      <c r="M159" s="170"/>
      <c r="N159" s="129"/>
      <c r="O159" s="171"/>
    </row>
    <row r="160" spans="2:18" s="53" customFormat="1" x14ac:dyDescent="0.2">
      <c r="B160" s="53" t="str">
        <f t="shared" ref="B160:B161" si="48">B152</f>
        <v>paper packaging</v>
      </c>
      <c r="D160" s="55">
        <f>100-D152</f>
        <v>17.043461920103539</v>
      </c>
      <c r="E160" s="55">
        <f t="shared" ref="E160" si="49">100-E152</f>
        <v>17.043461920103539</v>
      </c>
      <c r="F160" s="55">
        <f>D160-E160</f>
        <v>0</v>
      </c>
      <c r="G160" s="55">
        <f t="shared" si="46"/>
        <v>0</v>
      </c>
      <c r="H160" s="176">
        <f t="shared" si="47"/>
        <v>0</v>
      </c>
      <c r="I160" s="54" t="s">
        <v>2</v>
      </c>
      <c r="J160" s="170"/>
      <c r="K160" s="129"/>
      <c r="L160" s="170"/>
      <c r="M160" s="170"/>
      <c r="N160" s="129"/>
      <c r="O160" s="171"/>
    </row>
    <row r="161" spans="2:24" s="53" customFormat="1" x14ac:dyDescent="0.2">
      <c r="B161" s="53" t="str">
        <f t="shared" si="48"/>
        <v>wood packaging</v>
      </c>
      <c r="D161" s="55">
        <f>100-D153</f>
        <v>62.312567469168634</v>
      </c>
      <c r="E161" s="55">
        <f t="shared" ref="E161" si="50">100-E153</f>
        <v>62.312567469168634</v>
      </c>
      <c r="F161" s="55">
        <f>D161-E161</f>
        <v>0</v>
      </c>
      <c r="G161" s="55">
        <f t="shared" si="46"/>
        <v>0</v>
      </c>
      <c r="H161" s="177">
        <f t="shared" si="47"/>
        <v>0</v>
      </c>
      <c r="I161" s="54" t="s">
        <v>2</v>
      </c>
      <c r="J161" s="170"/>
      <c r="K161" s="129"/>
      <c r="L161" s="170"/>
      <c r="M161" s="170"/>
      <c r="N161" s="129"/>
      <c r="O161" s="171"/>
    </row>
    <row r="164" spans="2:24" x14ac:dyDescent="0.2">
      <c r="B164" s="84" t="s">
        <v>92</v>
      </c>
      <c r="C164" s="53"/>
    </row>
    <row r="165" spans="2:24" x14ac:dyDescent="0.2">
      <c r="B165" t="s">
        <v>184</v>
      </c>
    </row>
    <row r="166" spans="2:24" ht="14.25" x14ac:dyDescent="0.2">
      <c r="B166" s="12" t="s">
        <v>93</v>
      </c>
      <c r="C166" s="12" t="s">
        <v>69</v>
      </c>
      <c r="D166" s="12" t="s">
        <v>70</v>
      </c>
      <c r="E166" s="12" t="s">
        <v>73</v>
      </c>
    </row>
    <row r="167" spans="2:24" ht="14.25" x14ac:dyDescent="0.2">
      <c r="B167" s="14" t="s">
        <v>63</v>
      </c>
      <c r="C167" s="13">
        <f>'option 1 full implementation'!C181</f>
        <v>219</v>
      </c>
      <c r="D167" s="14" t="s">
        <v>35</v>
      </c>
      <c r="E167" s="14" t="s">
        <v>34</v>
      </c>
      <c r="G167" s="20" t="s">
        <v>62</v>
      </c>
      <c r="H167" s="1">
        <f>C171/C173*100</f>
        <v>43.469327854417379</v>
      </c>
      <c r="I167" s="21" t="s">
        <v>2</v>
      </c>
    </row>
    <row r="168" spans="2:24" ht="14.25" x14ac:dyDescent="0.2">
      <c r="B168" s="14" t="s">
        <v>64</v>
      </c>
      <c r="C168" s="13">
        <f>'option 1 full implementation'!C182</f>
        <v>1062</v>
      </c>
      <c r="D168" s="14" t="s">
        <v>35</v>
      </c>
      <c r="E168" s="14" t="s">
        <v>34</v>
      </c>
      <c r="G168" s="20" t="s">
        <v>63</v>
      </c>
      <c r="H168" s="1">
        <f>C167/C173*100</f>
        <v>2.1426474904608162</v>
      </c>
      <c r="I168" s="21" t="s">
        <v>2</v>
      </c>
    </row>
    <row r="169" spans="2:24" ht="14.25" x14ac:dyDescent="0.2">
      <c r="B169" s="14" t="s">
        <v>82</v>
      </c>
      <c r="C169" s="13">
        <f>'option 1 full implementation'!C183</f>
        <v>1000</v>
      </c>
      <c r="D169" s="14" t="s">
        <v>35</v>
      </c>
      <c r="E169" s="14" t="s">
        <v>34</v>
      </c>
      <c r="G169" s="20" t="s">
        <v>76</v>
      </c>
      <c r="H169" s="1">
        <f>C168/C173*100</f>
        <v>10.390372761960668</v>
      </c>
      <c r="I169" s="21" t="s">
        <v>2</v>
      </c>
    </row>
    <row r="170" spans="2:24" ht="14.25" x14ac:dyDescent="0.2">
      <c r="B170" s="14" t="s">
        <v>65</v>
      </c>
      <c r="C170" s="13">
        <f>'option 1 full implementation'!C184</f>
        <v>3268</v>
      </c>
      <c r="D170" s="14" t="s">
        <v>35</v>
      </c>
      <c r="E170" s="14" t="s">
        <v>34</v>
      </c>
      <c r="G170" s="21" t="s">
        <v>65</v>
      </c>
      <c r="H170" s="1">
        <f>C170/C173*100</f>
        <v>31.973388122492906</v>
      </c>
      <c r="I170" s="21" t="s">
        <v>2</v>
      </c>
    </row>
    <row r="171" spans="2:24" s="4" customFormat="1" ht="14.25" x14ac:dyDescent="0.2">
      <c r="B171" s="14" t="s">
        <v>94</v>
      </c>
      <c r="C171" s="13">
        <f>'option 1 full implementation'!C185</f>
        <v>4443</v>
      </c>
      <c r="D171" s="14" t="s">
        <v>35</v>
      </c>
      <c r="E171" s="14" t="s">
        <v>34</v>
      </c>
      <c r="F171"/>
      <c r="G171" s="21" t="s">
        <v>106</v>
      </c>
      <c r="H171" s="1">
        <f>C172/C173*100</f>
        <v>2.2404852754133646</v>
      </c>
      <c r="I171" s="21" t="s">
        <v>2</v>
      </c>
      <c r="P171"/>
      <c r="Q171"/>
      <c r="R171" s="1"/>
      <c r="S171"/>
      <c r="T171"/>
      <c r="U171"/>
      <c r="V171"/>
      <c r="W171"/>
      <c r="X171"/>
    </row>
    <row r="172" spans="2:24" ht="14.25" x14ac:dyDescent="0.2">
      <c r="B172" s="14" t="s">
        <v>106</v>
      </c>
      <c r="C172" s="13">
        <f>'option 1 full implementation'!C186</f>
        <v>229</v>
      </c>
      <c r="D172" s="14" t="s">
        <v>35</v>
      </c>
      <c r="E172" s="14" t="s">
        <v>34</v>
      </c>
      <c r="G172" s="21" t="s">
        <v>82</v>
      </c>
      <c r="H172" s="1">
        <f>C169/C173*100</f>
        <v>9.7837784952548681</v>
      </c>
      <c r="I172" s="21" t="s">
        <v>2</v>
      </c>
    </row>
    <row r="173" spans="2:24" ht="14.25" x14ac:dyDescent="0.2">
      <c r="B173" s="22"/>
      <c r="C173" s="15">
        <f>SUM(C167:C172)</f>
        <v>10221</v>
      </c>
      <c r="D173" s="22"/>
      <c r="E173" s="22"/>
      <c r="F173" s="4"/>
      <c r="G173" s="4"/>
      <c r="H173" s="16">
        <f>SUM(H167:H172)</f>
        <v>100</v>
      </c>
      <c r="I173" s="4"/>
    </row>
    <row r="174" spans="2:24" ht="14.25" x14ac:dyDescent="0.2">
      <c r="B174" s="14" t="s">
        <v>63</v>
      </c>
      <c r="C174" s="13">
        <f>'option 1 full implementation'!C188</f>
        <v>24</v>
      </c>
      <c r="D174" s="14" t="s">
        <v>36</v>
      </c>
      <c r="E174" s="14" t="s">
        <v>34</v>
      </c>
      <c r="G174" s="20" t="s">
        <v>62</v>
      </c>
      <c r="H174" s="1">
        <f>C178/C180*100</f>
        <v>40.438512869399432</v>
      </c>
      <c r="I174" s="21" t="s">
        <v>2</v>
      </c>
    </row>
    <row r="175" spans="2:24" ht="14.25" x14ac:dyDescent="0.2">
      <c r="B175" s="14" t="s">
        <v>64</v>
      </c>
      <c r="C175" s="13">
        <f>'option 1 full implementation'!C189</f>
        <v>474</v>
      </c>
      <c r="D175" s="14" t="s">
        <v>36</v>
      </c>
      <c r="E175" s="14" t="s">
        <v>34</v>
      </c>
      <c r="G175" s="20" t="s">
        <v>63</v>
      </c>
      <c r="H175" s="1">
        <f>C174/C180*100</f>
        <v>0.45757864632983797</v>
      </c>
      <c r="I175" s="21" t="s">
        <v>2</v>
      </c>
      <c r="W175" s="4"/>
      <c r="X175" s="4"/>
    </row>
    <row r="176" spans="2:24" ht="14.25" x14ac:dyDescent="0.2">
      <c r="B176" s="14" t="s">
        <v>82</v>
      </c>
      <c r="C176" s="13">
        <f>'option 1 full implementation'!C190</f>
        <v>171</v>
      </c>
      <c r="D176" s="14" t="s">
        <v>36</v>
      </c>
      <c r="E176" s="14" t="s">
        <v>34</v>
      </c>
      <c r="G176" s="20" t="s">
        <v>76</v>
      </c>
      <c r="H176" s="1">
        <f>C175/C180*100</f>
        <v>9.0371782650142993</v>
      </c>
      <c r="I176" s="21" t="s">
        <v>2</v>
      </c>
      <c r="U176" s="4"/>
      <c r="V176" s="4"/>
    </row>
    <row r="177" spans="2:24" ht="14.25" x14ac:dyDescent="0.2">
      <c r="B177" s="14" t="s">
        <v>65</v>
      </c>
      <c r="C177" s="13">
        <f>'option 1 full implementation'!C191</f>
        <v>2386</v>
      </c>
      <c r="D177" s="14" t="s">
        <v>36</v>
      </c>
      <c r="E177" s="14" t="s">
        <v>34</v>
      </c>
      <c r="G177" s="21" t="s">
        <v>65</v>
      </c>
      <c r="H177" s="1">
        <f>C177/C180*100</f>
        <v>45.490943755958057</v>
      </c>
      <c r="I177" s="21" t="s">
        <v>2</v>
      </c>
      <c r="P177" s="4"/>
      <c r="Q177" s="4"/>
      <c r="R177" s="16"/>
      <c r="S177" s="4"/>
      <c r="T177" s="4"/>
    </row>
    <row r="178" spans="2:24" s="4" customFormat="1" ht="14.25" x14ac:dyDescent="0.2">
      <c r="B178" s="14" t="s">
        <v>94</v>
      </c>
      <c r="C178" s="13">
        <f>'option 1 full implementation'!C192</f>
        <v>2121</v>
      </c>
      <c r="D178" s="14" t="s">
        <v>36</v>
      </c>
      <c r="E178" s="14" t="s">
        <v>34</v>
      </c>
      <c r="F178"/>
      <c r="G178" s="21" t="s">
        <v>106</v>
      </c>
      <c r="H178" s="1">
        <f>C179/C180*100</f>
        <v>1.3155386081982841</v>
      </c>
      <c r="I178" s="21" t="s">
        <v>2</v>
      </c>
      <c r="P178"/>
      <c r="Q178"/>
      <c r="R178" s="1"/>
      <c r="S178"/>
      <c r="T178"/>
      <c r="U178"/>
      <c r="V178"/>
      <c r="W178"/>
      <c r="X178"/>
    </row>
    <row r="179" spans="2:24" ht="14.25" x14ac:dyDescent="0.2">
      <c r="B179" s="14" t="s">
        <v>106</v>
      </c>
      <c r="C179" s="13">
        <f>'option 1 full implementation'!C193</f>
        <v>69</v>
      </c>
      <c r="D179" s="14" t="s">
        <v>36</v>
      </c>
      <c r="E179" s="14" t="s">
        <v>34</v>
      </c>
      <c r="G179" s="21" t="s">
        <v>82</v>
      </c>
      <c r="H179" s="1">
        <f>C176/C180*100</f>
        <v>3.2602478551000948</v>
      </c>
      <c r="I179" s="21" t="s">
        <v>2</v>
      </c>
    </row>
    <row r="180" spans="2:24" ht="14.25" x14ac:dyDescent="0.2">
      <c r="B180" s="22"/>
      <c r="C180" s="15">
        <f>SUM(C174:C179)</f>
        <v>5245</v>
      </c>
      <c r="D180" s="22"/>
      <c r="E180" s="22"/>
      <c r="F180" s="4"/>
      <c r="G180" s="4"/>
      <c r="H180" s="16">
        <f>SUM(H174:H179)</f>
        <v>99.999999999999986</v>
      </c>
      <c r="I180" s="4"/>
    </row>
    <row r="181" spans="2:24" ht="14.25" x14ac:dyDescent="0.2">
      <c r="B181" s="14" t="s">
        <v>63</v>
      </c>
      <c r="C181" s="13">
        <f>'option 1 full implementation'!C195</f>
        <v>923</v>
      </c>
      <c r="D181" s="14" t="s">
        <v>37</v>
      </c>
      <c r="E181" s="14" t="s">
        <v>34</v>
      </c>
      <c r="G181" s="20" t="s">
        <v>62</v>
      </c>
      <c r="H181" s="1">
        <f>C185/C187*100</f>
        <v>61.523569023569024</v>
      </c>
      <c r="I181" s="21" t="s">
        <v>2</v>
      </c>
    </row>
    <row r="182" spans="2:24" ht="14.25" x14ac:dyDescent="0.2">
      <c r="B182" s="14" t="s">
        <v>64</v>
      </c>
      <c r="C182" s="13">
        <f>'option 1 full implementation'!C196</f>
        <v>523</v>
      </c>
      <c r="D182" s="14" t="s">
        <v>37</v>
      </c>
      <c r="E182" s="14" t="s">
        <v>34</v>
      </c>
      <c r="G182" s="20" t="s">
        <v>63</v>
      </c>
      <c r="H182" s="1">
        <f>C181/C187*100</f>
        <v>3.8846801346801345</v>
      </c>
      <c r="I182" s="21" t="s">
        <v>2</v>
      </c>
      <c r="W182" s="4"/>
      <c r="X182" s="4"/>
    </row>
    <row r="183" spans="2:24" ht="14.25" x14ac:dyDescent="0.2">
      <c r="B183" s="14" t="s">
        <v>82</v>
      </c>
      <c r="C183" s="13">
        <f>'option 1 full implementation'!C197</f>
        <v>2092</v>
      </c>
      <c r="D183" s="14" t="s">
        <v>37</v>
      </c>
      <c r="E183" s="14" t="s">
        <v>34</v>
      </c>
      <c r="G183" s="20" t="s">
        <v>76</v>
      </c>
      <c r="H183" s="1">
        <f>C182/C187*100</f>
        <v>2.2011784511784511</v>
      </c>
      <c r="I183" s="21" t="s">
        <v>2</v>
      </c>
      <c r="U183" s="4"/>
      <c r="V183" s="4"/>
    </row>
    <row r="184" spans="2:24" ht="14.25" x14ac:dyDescent="0.2">
      <c r="B184" s="14" t="s">
        <v>65</v>
      </c>
      <c r="C184" s="13">
        <f>'option 1 full implementation'!C198</f>
        <v>5566</v>
      </c>
      <c r="D184" s="14" t="s">
        <v>37</v>
      </c>
      <c r="E184" s="14" t="s">
        <v>34</v>
      </c>
      <c r="G184" s="21" t="s">
        <v>65</v>
      </c>
      <c r="H184" s="1">
        <f>C184/C187*100</f>
        <v>23.425925925925924</v>
      </c>
      <c r="I184" s="21" t="s">
        <v>2</v>
      </c>
      <c r="P184" s="4"/>
      <c r="Q184" s="4"/>
      <c r="R184" s="16"/>
      <c r="S184" s="4"/>
      <c r="T184" s="4"/>
    </row>
    <row r="185" spans="2:24" s="4" customFormat="1" ht="14.25" x14ac:dyDescent="0.2">
      <c r="B185" s="14" t="s">
        <v>94</v>
      </c>
      <c r="C185" s="13">
        <f>'option 1 full implementation'!C199</f>
        <v>14618</v>
      </c>
      <c r="D185" s="14" t="s">
        <v>37</v>
      </c>
      <c r="E185" s="14" t="s">
        <v>34</v>
      </c>
      <c r="F185"/>
      <c r="G185" s="21" t="s">
        <v>106</v>
      </c>
      <c r="H185" s="1">
        <f>C186/C187*100</f>
        <v>0.15993265993265993</v>
      </c>
      <c r="I185" s="21" t="s">
        <v>2</v>
      </c>
      <c r="P185"/>
      <c r="Q185"/>
      <c r="R185" s="1"/>
      <c r="S185"/>
      <c r="T185"/>
      <c r="U185"/>
      <c r="V185"/>
      <c r="W185"/>
      <c r="X185"/>
    </row>
    <row r="186" spans="2:24" ht="14.25" x14ac:dyDescent="0.2">
      <c r="B186" s="14" t="s">
        <v>106</v>
      </c>
      <c r="C186" s="13">
        <f>'option 1 full implementation'!C200</f>
        <v>38</v>
      </c>
      <c r="D186" s="14" t="s">
        <v>37</v>
      </c>
      <c r="E186" s="14" t="s">
        <v>34</v>
      </c>
      <c r="G186" s="21" t="s">
        <v>82</v>
      </c>
      <c r="H186" s="1">
        <f>C183/C187*100</f>
        <v>8.8047138047138045</v>
      </c>
      <c r="I186" s="21" t="s">
        <v>2</v>
      </c>
    </row>
    <row r="187" spans="2:24" ht="14.25" x14ac:dyDescent="0.2">
      <c r="B187" s="22"/>
      <c r="C187" s="15">
        <f>SUM(C181:C186)</f>
        <v>23760</v>
      </c>
      <c r="D187" s="22"/>
      <c r="E187" s="22"/>
      <c r="F187" s="4"/>
      <c r="G187" s="4"/>
      <c r="H187" s="16">
        <f>SUM(H181:H186)</f>
        <v>100</v>
      </c>
      <c r="I187" s="4"/>
    </row>
    <row r="188" spans="2:24" ht="14.25" x14ac:dyDescent="0.2">
      <c r="B188" s="14" t="s">
        <v>63</v>
      </c>
      <c r="C188" s="13">
        <f>'option 1 full implementation'!C202</f>
        <v>171</v>
      </c>
      <c r="D188" s="14" t="s">
        <v>31</v>
      </c>
      <c r="E188" s="14" t="s">
        <v>34</v>
      </c>
      <c r="G188" s="20" t="s">
        <v>62</v>
      </c>
      <c r="H188" s="1">
        <f>C192/C194*100</f>
        <v>66.364394413174892</v>
      </c>
      <c r="I188" s="21" t="s">
        <v>2</v>
      </c>
    </row>
    <row r="189" spans="2:24" ht="14.25" x14ac:dyDescent="0.2">
      <c r="B189" s="14" t="s">
        <v>64</v>
      </c>
      <c r="C189" s="13">
        <f>'option 1 full implementation'!C203</f>
        <v>726</v>
      </c>
      <c r="D189" s="14" t="s">
        <v>31</v>
      </c>
      <c r="E189" s="14" t="s">
        <v>34</v>
      </c>
      <c r="G189" s="20" t="s">
        <v>63</v>
      </c>
      <c r="H189" s="1">
        <f>C188/C194*100</f>
        <v>0.59412132582864297</v>
      </c>
      <c r="I189" s="21" t="s">
        <v>2</v>
      </c>
      <c r="W189" s="4"/>
      <c r="X189" s="4"/>
    </row>
    <row r="190" spans="2:24" ht="14.25" x14ac:dyDescent="0.2">
      <c r="B190" s="14" t="s">
        <v>82</v>
      </c>
      <c r="C190" s="13">
        <f>'option 1 full implementation'!C204</f>
        <v>6380</v>
      </c>
      <c r="D190" s="14" t="s">
        <v>31</v>
      </c>
      <c r="E190" s="14" t="s">
        <v>34</v>
      </c>
      <c r="G190" s="20" t="s">
        <v>76</v>
      </c>
      <c r="H190" s="1">
        <f>C189/C194*100</f>
        <v>2.5224098394830103</v>
      </c>
      <c r="I190" s="21" t="s">
        <v>2</v>
      </c>
      <c r="U190" s="4"/>
      <c r="V190" s="4"/>
    </row>
    <row r="191" spans="2:24" ht="14.25" x14ac:dyDescent="0.2">
      <c r="B191" s="14" t="s">
        <v>65</v>
      </c>
      <c r="C191" s="13">
        <f>'option 1 full implementation'!C205</f>
        <v>2092</v>
      </c>
      <c r="D191" s="14" t="s">
        <v>31</v>
      </c>
      <c r="E191" s="14" t="s">
        <v>34</v>
      </c>
      <c r="G191" s="21" t="s">
        <v>65</v>
      </c>
      <c r="H191" s="1">
        <f>C191/C194*100</f>
        <v>7.2684316586755617</v>
      </c>
      <c r="I191" s="21" t="s">
        <v>2</v>
      </c>
      <c r="P191" s="4"/>
      <c r="Q191" s="4"/>
      <c r="R191" s="16"/>
      <c r="S191" s="4"/>
      <c r="T191" s="4"/>
    </row>
    <row r="192" spans="2:24" s="4" customFormat="1" ht="14.25" x14ac:dyDescent="0.2">
      <c r="B192" s="14" t="s">
        <v>94</v>
      </c>
      <c r="C192" s="13">
        <f>'option 1 full implementation'!C206</f>
        <v>19101</v>
      </c>
      <c r="D192" s="14" t="s">
        <v>31</v>
      </c>
      <c r="E192" s="14" t="s">
        <v>34</v>
      </c>
      <c r="F192"/>
      <c r="G192" s="21" t="s">
        <v>106</v>
      </c>
      <c r="H192" s="1">
        <f>C193/C194*100</f>
        <v>1.084010840108401</v>
      </c>
      <c r="I192" s="21" t="s">
        <v>2</v>
      </c>
      <c r="P192"/>
      <c r="Q192"/>
      <c r="R192" s="1"/>
      <c r="S192"/>
      <c r="T192"/>
      <c r="U192"/>
      <c r="V192"/>
      <c r="W192"/>
      <c r="X192"/>
    </row>
    <row r="193" spans="2:24" ht="14.25" x14ac:dyDescent="0.2">
      <c r="B193" s="21" t="s">
        <v>106</v>
      </c>
      <c r="C193" s="13">
        <f>'option 1 full implementation'!C207</f>
        <v>312</v>
      </c>
      <c r="D193" s="21" t="s">
        <v>31</v>
      </c>
      <c r="E193" s="21" t="s">
        <v>34</v>
      </c>
      <c r="G193" s="21" t="s">
        <v>82</v>
      </c>
      <c r="H193" s="1">
        <f>C190/C194*100</f>
        <v>22.166631922729486</v>
      </c>
      <c r="I193" s="21" t="s">
        <v>2</v>
      </c>
    </row>
    <row r="194" spans="2:24" ht="14.25" x14ac:dyDescent="0.2">
      <c r="B194" s="4"/>
      <c r="C194" s="15">
        <f>SUM(C188:C193)</f>
        <v>28782</v>
      </c>
      <c r="D194" s="4"/>
      <c r="E194" s="4"/>
      <c r="F194" s="4"/>
      <c r="G194" s="4"/>
      <c r="H194" s="16">
        <f>SUM(H188:H193)</f>
        <v>100</v>
      </c>
      <c r="I194" s="4"/>
    </row>
    <row r="196" spans="2:24" x14ac:dyDescent="0.2">
      <c r="F196" t="s">
        <v>13</v>
      </c>
      <c r="G196" t="s">
        <v>62</v>
      </c>
      <c r="H196" s="126">
        <f>'option 1 full implementation'!H210</f>
        <v>61.076597781504347</v>
      </c>
      <c r="I196" t="s">
        <v>2</v>
      </c>
      <c r="W196" s="4"/>
      <c r="X196" s="4"/>
    </row>
    <row r="197" spans="2:24" x14ac:dyDescent="0.2">
      <c r="G197" t="s">
        <v>63</v>
      </c>
      <c r="H197" s="127">
        <f>'option 1 full implementation'!H211</f>
        <v>2.9535731425166882</v>
      </c>
      <c r="I197" t="s">
        <v>2</v>
      </c>
      <c r="U197" s="4"/>
      <c r="V197" s="4"/>
    </row>
    <row r="198" spans="2:24" x14ac:dyDescent="0.2">
      <c r="G198" t="s">
        <v>76</v>
      </c>
      <c r="H198" s="127">
        <f>'option 1 full implementation'!H212</f>
        <v>2.895569760355964</v>
      </c>
      <c r="I198" t="s">
        <v>2</v>
      </c>
      <c r="P198" s="4"/>
      <c r="Q198" s="4"/>
      <c r="R198" s="16"/>
      <c r="S198" s="4"/>
      <c r="T198" s="4"/>
    </row>
    <row r="199" spans="2:24" x14ac:dyDescent="0.2">
      <c r="G199" t="s">
        <v>65</v>
      </c>
      <c r="H199" s="127">
        <f>'option 1 full implementation'!H213</f>
        <v>20.846115369684046</v>
      </c>
      <c r="I199" t="s">
        <v>2</v>
      </c>
    </row>
    <row r="200" spans="2:24" x14ac:dyDescent="0.2">
      <c r="G200" t="s">
        <v>106</v>
      </c>
      <c r="H200" s="127">
        <f>'option 1 full implementation'!H214</f>
        <v>0.51026444835174956</v>
      </c>
      <c r="I200" t="s">
        <v>2</v>
      </c>
    </row>
    <row r="201" spans="2:24" x14ac:dyDescent="0.2">
      <c r="G201" t="s">
        <v>82</v>
      </c>
      <c r="H201" s="128">
        <f>'option 1 full implementation'!H215</f>
        <v>11.717879497587189</v>
      </c>
      <c r="I201" t="s">
        <v>2</v>
      </c>
    </row>
    <row r="203" spans="2:24" x14ac:dyDescent="0.2">
      <c r="H203" s="1">
        <f>SUM(H196:H201)</f>
        <v>99.999999999999986</v>
      </c>
    </row>
  </sheetData>
  <mergeCells count="5">
    <mergeCell ref="AP5:AQ5"/>
    <mergeCell ref="V5:W5"/>
    <mergeCell ref="G25:G29"/>
    <mergeCell ref="H28:K28"/>
    <mergeCell ref="AF5:A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D87"/>
  </sheetPr>
  <dimension ref="A2:BC202"/>
  <sheetViews>
    <sheetView topLeftCell="AE17" workbookViewId="0">
      <selection activeCell="AT52" sqref="AT52"/>
    </sheetView>
  </sheetViews>
  <sheetFormatPr defaultRowHeight="12.75" x14ac:dyDescent="0.2"/>
  <cols>
    <col min="2" max="2" width="27.5703125" bestFit="1" customWidth="1"/>
    <col min="4" max="4" width="24" customWidth="1"/>
    <col min="5" max="5" width="13.28515625" customWidth="1"/>
    <col min="6" max="6" width="14.28515625" customWidth="1"/>
    <col min="7" max="7" width="11.140625" customWidth="1"/>
    <col min="8" max="8" width="9.140625" style="1"/>
    <col min="17" max="17" width="20" customWidth="1"/>
    <col min="18" max="18" width="9.140625" style="1"/>
    <col min="19" max="19" width="20.42578125" bestFit="1" customWidth="1"/>
    <col min="22" max="22" width="14.85546875" bestFit="1" customWidth="1"/>
    <col min="27" max="27" width="2.7109375" bestFit="1" customWidth="1"/>
    <col min="29" max="29" width="5" bestFit="1" customWidth="1"/>
    <col min="30" max="30" width="26.28515625" customWidth="1"/>
    <col min="32" max="32" width="14.85546875" bestFit="1" customWidth="1"/>
    <col min="37" max="37" width="2.7109375" bestFit="1" customWidth="1"/>
    <col min="40" max="40" width="23.5703125" customWidth="1"/>
    <col min="42" max="42" width="14.85546875" bestFit="1" customWidth="1"/>
    <col min="47" max="47" width="2.7109375" bestFit="1" customWidth="1"/>
  </cols>
  <sheetData>
    <row r="2" spans="2:47" x14ac:dyDescent="0.2">
      <c r="E2" s="53"/>
    </row>
    <row r="3" spans="2:47" ht="20.25" x14ac:dyDescent="0.3">
      <c r="B3" s="23" t="s">
        <v>102</v>
      </c>
      <c r="C3" s="23"/>
      <c r="D3" s="23"/>
      <c r="L3" s="24" t="s">
        <v>103</v>
      </c>
      <c r="R3"/>
      <c r="S3" s="23" t="s">
        <v>15</v>
      </c>
      <c r="U3" s="1"/>
    </row>
    <row r="4" spans="2:47" x14ac:dyDescent="0.2">
      <c r="R4"/>
      <c r="U4" s="1"/>
    </row>
    <row r="5" spans="2:47" x14ac:dyDescent="0.2">
      <c r="R5"/>
      <c r="S5" s="25">
        <v>2020</v>
      </c>
      <c r="T5" s="25"/>
      <c r="U5" s="26"/>
      <c r="V5" s="25"/>
      <c r="W5" s="25"/>
      <c r="X5" s="25"/>
      <c r="Y5" s="306" t="s">
        <v>95</v>
      </c>
      <c r="Z5" s="306"/>
      <c r="AA5" s="25"/>
      <c r="AC5" s="25">
        <v>2025</v>
      </c>
      <c r="AD5" s="25"/>
      <c r="AE5" s="26"/>
      <c r="AF5" s="25"/>
      <c r="AG5" s="25"/>
      <c r="AH5" s="25"/>
      <c r="AI5" s="306" t="s">
        <v>95</v>
      </c>
      <c r="AJ5" s="306"/>
      <c r="AK5" s="25"/>
      <c r="AM5" s="25">
        <v>2030</v>
      </c>
      <c r="AN5" s="25"/>
      <c r="AO5" s="26"/>
      <c r="AP5" s="25"/>
      <c r="AQ5" s="25"/>
      <c r="AR5" s="25"/>
      <c r="AS5" s="306" t="s">
        <v>95</v>
      </c>
      <c r="AT5" s="306"/>
      <c r="AU5" s="25"/>
    </row>
    <row r="6" spans="2:47" x14ac:dyDescent="0.2">
      <c r="B6" s="84" t="s">
        <v>0</v>
      </c>
      <c r="C6" s="1"/>
      <c r="E6" s="54"/>
      <c r="J6" s="2"/>
      <c r="R6"/>
      <c r="S6" s="25"/>
      <c r="T6" s="25"/>
      <c r="U6" s="26"/>
      <c r="V6" s="25"/>
      <c r="W6" s="25"/>
      <c r="X6" s="25"/>
      <c r="Y6" s="26"/>
      <c r="Z6" s="25"/>
      <c r="AA6" s="25"/>
      <c r="AC6" s="25"/>
      <c r="AD6" s="25"/>
      <c r="AE6" s="26"/>
      <c r="AF6" s="25"/>
      <c r="AG6" s="25"/>
      <c r="AH6" s="25"/>
      <c r="AI6" s="26"/>
      <c r="AJ6" s="25"/>
      <c r="AK6" s="25"/>
      <c r="AM6" s="25"/>
      <c r="AN6" s="25"/>
      <c r="AO6" s="26"/>
      <c r="AP6" s="25"/>
      <c r="AQ6" s="25"/>
      <c r="AR6" s="25"/>
      <c r="AS6" s="26"/>
      <c r="AT6" s="25"/>
      <c r="AU6" s="25"/>
    </row>
    <row r="7" spans="2:47" x14ac:dyDescent="0.2">
      <c r="B7" t="str">
        <f>'option 2 single calculation met'!B7</f>
        <v>as in BAU</v>
      </c>
      <c r="C7" s="2"/>
      <c r="R7"/>
      <c r="S7" s="25"/>
      <c r="T7" s="27" t="s">
        <v>16</v>
      </c>
      <c r="U7" s="26">
        <v>100</v>
      </c>
      <c r="V7" s="25"/>
      <c r="W7" s="25"/>
      <c r="X7" s="25"/>
      <c r="Y7" s="25"/>
      <c r="Z7" s="25"/>
      <c r="AA7" s="25"/>
      <c r="AC7" s="25"/>
      <c r="AD7" s="27" t="s">
        <v>16</v>
      </c>
      <c r="AE7" s="26">
        <v>100</v>
      </c>
      <c r="AF7" s="25"/>
      <c r="AG7" s="25"/>
      <c r="AH7" s="25"/>
      <c r="AI7" s="25"/>
      <c r="AJ7" s="25"/>
      <c r="AK7" s="25"/>
      <c r="AM7" s="25"/>
      <c r="AN7" s="27" t="s">
        <v>16</v>
      </c>
      <c r="AO7" s="26">
        <v>100</v>
      </c>
      <c r="AP7" s="25"/>
      <c r="AQ7" s="25"/>
      <c r="AR7" s="25"/>
      <c r="AS7" s="25"/>
      <c r="AT7" s="25"/>
      <c r="AU7" s="25"/>
    </row>
    <row r="8" spans="2:47" x14ac:dyDescent="0.2">
      <c r="B8" t="str">
        <f>'option 2 single calculation met'!B8</f>
        <v>increase 2015-2020</v>
      </c>
      <c r="C8" s="2">
        <f>'option 2 single calculation met'!C8</f>
        <v>2.8975042901448815</v>
      </c>
      <c r="D8" t="s">
        <v>2</v>
      </c>
      <c r="H8"/>
      <c r="R8"/>
      <c r="S8" s="27"/>
      <c r="T8" s="27" t="s">
        <v>17</v>
      </c>
      <c r="U8" s="28">
        <f>U7*C25</f>
        <v>78.366280390281759</v>
      </c>
      <c r="V8" s="25"/>
      <c r="W8" s="25"/>
      <c r="X8" s="25"/>
      <c r="Y8" s="25"/>
      <c r="Z8" s="25"/>
      <c r="AA8" s="25"/>
      <c r="AC8" s="27"/>
      <c r="AD8" s="27" t="s">
        <v>17</v>
      </c>
      <c r="AE8" s="28">
        <f>U8</f>
        <v>78.366280390281759</v>
      </c>
      <c r="AF8" s="25"/>
      <c r="AG8" s="25"/>
      <c r="AH8" s="25"/>
      <c r="AI8" s="25"/>
      <c r="AJ8" s="25"/>
      <c r="AK8" s="25"/>
      <c r="AM8" s="27"/>
      <c r="AN8" s="27" t="s">
        <v>17</v>
      </c>
      <c r="AO8" s="28">
        <f>AE8</f>
        <v>78.366280390281759</v>
      </c>
      <c r="AP8" s="25"/>
      <c r="AQ8" s="25"/>
      <c r="AR8" s="25"/>
      <c r="AS8" s="25"/>
      <c r="AT8" s="25"/>
      <c r="AU8" s="25"/>
    </row>
    <row r="9" spans="2:47" x14ac:dyDescent="0.2">
      <c r="B9" t="str">
        <f>'option 2 single calculation met'!B9</f>
        <v>increase 2015-2025</v>
      </c>
      <c r="C9" s="2">
        <f>'option 2 single calculation met'!C9</f>
        <v>5.1828712412524975</v>
      </c>
      <c r="D9" t="s">
        <v>2</v>
      </c>
      <c r="E9" s="1"/>
      <c r="F9" s="1"/>
      <c r="G9" s="1"/>
      <c r="I9" s="1"/>
      <c r="J9" s="1"/>
      <c r="K9" s="1"/>
      <c r="R9"/>
      <c r="S9" s="27"/>
      <c r="T9" s="27" t="s">
        <v>19</v>
      </c>
      <c r="U9" s="28">
        <f>U7*C26</f>
        <v>21.633719609718238</v>
      </c>
      <c r="V9" s="25"/>
      <c r="W9" s="25"/>
      <c r="X9" s="25"/>
      <c r="Y9" s="26"/>
      <c r="Z9" s="25"/>
      <c r="AA9" s="25"/>
      <c r="AC9" s="27"/>
      <c r="AD9" s="27" t="s">
        <v>19</v>
      </c>
      <c r="AE9" s="28">
        <f>U9</f>
        <v>21.633719609718238</v>
      </c>
      <c r="AF9" s="25"/>
      <c r="AG9" s="25"/>
      <c r="AH9" s="25"/>
      <c r="AI9" s="26"/>
      <c r="AJ9" s="25"/>
      <c r="AK9" s="25"/>
      <c r="AM9" s="27"/>
      <c r="AN9" s="27" t="s">
        <v>19</v>
      </c>
      <c r="AO9" s="28">
        <f>AE9</f>
        <v>21.633719609718238</v>
      </c>
      <c r="AP9" s="25"/>
      <c r="AQ9" s="25"/>
      <c r="AR9" s="25"/>
      <c r="AS9" s="26"/>
      <c r="AT9" s="25"/>
      <c r="AU9" s="25"/>
    </row>
    <row r="10" spans="2:47" x14ac:dyDescent="0.2">
      <c r="B10" t="str">
        <f>'option 2 single calculation met'!B10</f>
        <v>increase 2015-2030</v>
      </c>
      <c r="C10" s="2">
        <f>'option 2 single calculation met'!C10</f>
        <v>6.7064492086575767</v>
      </c>
      <c r="D10" t="s">
        <v>2</v>
      </c>
      <c r="R10"/>
      <c r="S10" s="25"/>
      <c r="T10" s="25"/>
      <c r="U10" s="26"/>
      <c r="V10" s="25"/>
      <c r="W10" s="25"/>
      <c r="X10" s="25"/>
      <c r="Y10" s="26"/>
      <c r="Z10" s="25"/>
      <c r="AA10" s="25"/>
      <c r="AC10" s="25"/>
      <c r="AD10" s="25"/>
      <c r="AE10" s="26"/>
      <c r="AF10" s="25"/>
      <c r="AG10" s="25"/>
      <c r="AH10" s="25"/>
      <c r="AI10" s="26"/>
      <c r="AJ10" s="25"/>
      <c r="AK10" s="25"/>
      <c r="AM10" s="25"/>
      <c r="AN10" s="25"/>
      <c r="AO10" s="26"/>
      <c r="AP10" s="25"/>
      <c r="AQ10" s="25"/>
      <c r="AR10" s="25"/>
      <c r="AS10" s="26"/>
      <c r="AT10" s="25"/>
      <c r="AU10" s="25"/>
    </row>
    <row r="11" spans="2:47" x14ac:dyDescent="0.2">
      <c r="R11"/>
      <c r="S11" s="25"/>
      <c r="T11" s="27" t="s">
        <v>18</v>
      </c>
      <c r="U11" s="28">
        <f>U8+U8*C8/100</f>
        <v>80.63694672661714</v>
      </c>
      <c r="V11" s="27"/>
      <c r="W11" s="26"/>
      <c r="X11" s="25"/>
      <c r="Y11" s="25"/>
      <c r="Z11" s="25"/>
      <c r="AA11" s="25"/>
      <c r="AC11" s="25"/>
      <c r="AD11" s="27" t="s">
        <v>171</v>
      </c>
      <c r="AE11" s="28">
        <f>AE8+AE8*C9/100</f>
        <v>82.427903799468965</v>
      </c>
      <c r="AF11" s="27"/>
      <c r="AG11" s="26"/>
      <c r="AH11" s="25"/>
      <c r="AI11" s="25"/>
      <c r="AJ11" s="25"/>
      <c r="AK11" s="25"/>
      <c r="AM11" s="25"/>
      <c r="AN11" s="27" t="s">
        <v>146</v>
      </c>
      <c r="AO11" s="28">
        <f>AO8+AO8*C10/100</f>
        <v>83.621875181370186</v>
      </c>
      <c r="AP11" s="27"/>
      <c r="AQ11" s="26"/>
      <c r="AR11" s="25"/>
      <c r="AS11" s="25"/>
      <c r="AT11" s="25"/>
      <c r="AU11" s="25"/>
    </row>
    <row r="12" spans="2:47" x14ac:dyDescent="0.2">
      <c r="H12" s="2"/>
      <c r="R12"/>
      <c r="S12" s="25"/>
      <c r="T12" s="27" t="s">
        <v>20</v>
      </c>
      <c r="U12" s="28">
        <f>U9+U9*C16/100</f>
        <v>23.761096188566889</v>
      </c>
      <c r="V12" s="27"/>
      <c r="W12" s="26"/>
      <c r="X12" s="25"/>
      <c r="Y12" s="25"/>
      <c r="Z12" s="25"/>
      <c r="AA12" s="25"/>
      <c r="AC12" s="25"/>
      <c r="AD12" s="27" t="s">
        <v>172</v>
      </c>
      <c r="AE12" s="28">
        <f>AE9+AE9*C17/100</f>
        <v>26.097670778200566</v>
      </c>
      <c r="AF12" s="27"/>
      <c r="AG12" s="26"/>
      <c r="AH12" s="25"/>
      <c r="AI12" s="25"/>
      <c r="AJ12" s="25"/>
      <c r="AK12" s="25"/>
      <c r="AM12" s="25"/>
      <c r="AN12" s="27" t="s">
        <v>147</v>
      </c>
      <c r="AO12" s="28">
        <f>AO9+AO9*C18/100</f>
        <v>28.664015104448865</v>
      </c>
      <c r="AP12" s="27"/>
      <c r="AQ12" s="26"/>
      <c r="AR12" s="25"/>
      <c r="AS12" s="25"/>
      <c r="AT12" s="25"/>
      <c r="AU12" s="25"/>
    </row>
    <row r="13" spans="2:47" x14ac:dyDescent="0.2">
      <c r="R13"/>
      <c r="S13" s="25"/>
      <c r="T13" s="27" t="s">
        <v>98</v>
      </c>
      <c r="U13" s="28">
        <f>SUM(U11:U12)</f>
        <v>104.39804291518402</v>
      </c>
      <c r="V13" s="27"/>
      <c r="W13" s="26"/>
      <c r="X13" s="25"/>
      <c r="Y13" s="26"/>
      <c r="Z13" s="25"/>
      <c r="AA13" s="25"/>
      <c r="AC13" s="25"/>
      <c r="AD13" s="27" t="s">
        <v>173</v>
      </c>
      <c r="AE13" s="28">
        <f>SUM(AE11:AE12)</f>
        <v>108.52557457766953</v>
      </c>
      <c r="AF13" s="27"/>
      <c r="AG13" s="26"/>
      <c r="AH13" s="25"/>
      <c r="AI13" s="26"/>
      <c r="AJ13" s="25"/>
      <c r="AK13" s="25"/>
      <c r="AM13" s="25"/>
      <c r="AN13" s="27" t="s">
        <v>150</v>
      </c>
      <c r="AO13" s="28">
        <f>SUM(AO11:AO12)</f>
        <v>112.28589028581905</v>
      </c>
      <c r="AP13" s="27"/>
      <c r="AQ13" s="26"/>
      <c r="AR13" s="25"/>
      <c r="AS13" s="26"/>
      <c r="AT13" s="25"/>
      <c r="AU13" s="25"/>
    </row>
    <row r="14" spans="2:47" x14ac:dyDescent="0.2">
      <c r="B14" s="84" t="s">
        <v>5</v>
      </c>
      <c r="C14" s="53"/>
      <c r="R14"/>
      <c r="S14" s="25"/>
      <c r="T14" s="27"/>
      <c r="U14" s="26"/>
      <c r="V14" s="27"/>
      <c r="W14" s="25"/>
      <c r="X14" s="25"/>
      <c r="Y14" s="25"/>
      <c r="Z14" s="25"/>
      <c r="AA14" s="25"/>
      <c r="AC14" s="25"/>
      <c r="AD14" s="27"/>
      <c r="AE14" s="26"/>
      <c r="AF14" s="27"/>
      <c r="AG14" s="25"/>
      <c r="AH14" s="25"/>
      <c r="AI14" s="25"/>
      <c r="AJ14" s="25"/>
      <c r="AK14" s="25"/>
      <c r="AM14" s="25"/>
      <c r="AN14" s="27"/>
      <c r="AO14" s="26"/>
      <c r="AP14" s="27"/>
      <c r="AQ14" s="25"/>
      <c r="AR14" s="25"/>
      <c r="AS14" s="25"/>
      <c r="AT14" s="25"/>
      <c r="AU14" s="25"/>
    </row>
    <row r="15" spans="2:47" x14ac:dyDescent="0.2">
      <c r="B15" t="str">
        <f>'option 2 single calculation met'!B15</f>
        <v>as in BAU</v>
      </c>
      <c r="R15"/>
      <c r="S15" s="25"/>
      <c r="T15" s="27" t="s">
        <v>48</v>
      </c>
      <c r="U15" s="28">
        <f>U11*I71/100</f>
        <v>49.018983027633332</v>
      </c>
      <c r="V15" s="27"/>
      <c r="W15" s="25"/>
      <c r="X15" s="25"/>
      <c r="Y15" s="25"/>
      <c r="Z15" s="25"/>
      <c r="AA15" s="25"/>
      <c r="AC15" s="25"/>
      <c r="AD15" s="27" t="s">
        <v>48</v>
      </c>
      <c r="AE15" s="28">
        <f>AE11*I71/100</f>
        <v>50.107701015120881</v>
      </c>
      <c r="AF15" s="27"/>
      <c r="AG15" s="25"/>
      <c r="AH15" s="25"/>
      <c r="AI15" s="25"/>
      <c r="AJ15" s="25"/>
      <c r="AK15" s="25"/>
      <c r="AM15" s="25"/>
      <c r="AN15" s="27" t="s">
        <v>48</v>
      </c>
      <c r="AO15" s="28">
        <f>AO11*I71/100</f>
        <v>50.833513006779249</v>
      </c>
      <c r="AP15" s="27"/>
      <c r="AQ15" s="25"/>
      <c r="AR15" s="25"/>
      <c r="AS15" s="25"/>
      <c r="AT15" s="25"/>
      <c r="AU15" s="25"/>
    </row>
    <row r="16" spans="2:47" x14ac:dyDescent="0.2">
      <c r="B16" t="str">
        <f>'option 2 single calculation met'!B16</f>
        <v>increase 2015-2020</v>
      </c>
      <c r="C16" s="2">
        <f>'option 2 single calculation met'!C16</f>
        <v>9.8336144557082932</v>
      </c>
      <c r="D16" t="s">
        <v>2</v>
      </c>
      <c r="R16"/>
      <c r="S16" s="25"/>
      <c r="T16" s="27" t="s">
        <v>46</v>
      </c>
      <c r="U16" s="28">
        <f>U12*I72/100</f>
        <v>1.7516626527831847</v>
      </c>
      <c r="V16" s="27"/>
      <c r="W16" s="25"/>
      <c r="X16" s="25"/>
      <c r="Y16" s="25"/>
      <c r="Z16" s="25"/>
      <c r="AA16" s="25"/>
      <c r="AC16" s="25"/>
      <c r="AD16" s="27" t="s">
        <v>46</v>
      </c>
      <c r="AE16" s="28">
        <f>AE12*I72/100</f>
        <v>1.9239144046225161</v>
      </c>
      <c r="AF16" s="27"/>
      <c r="AG16" s="25"/>
      <c r="AH16" s="25"/>
      <c r="AI16" s="25"/>
      <c r="AJ16" s="25"/>
      <c r="AK16" s="25"/>
      <c r="AM16" s="25"/>
      <c r="AN16" s="27" t="s">
        <v>46</v>
      </c>
      <c r="AO16" s="28">
        <f>AO12*I72/100</f>
        <v>2.1131047296309307</v>
      </c>
      <c r="AP16" s="27"/>
      <c r="AQ16" s="25"/>
      <c r="AR16" s="25"/>
      <c r="AS16" s="25"/>
      <c r="AT16" s="25"/>
      <c r="AU16" s="25"/>
    </row>
    <row r="17" spans="2:47" x14ac:dyDescent="0.2">
      <c r="B17" t="str">
        <f>'option 2 single calculation met'!B17</f>
        <v>increase 2015-2025</v>
      </c>
      <c r="C17" s="2">
        <f>'option 2 single calculation met'!C17</f>
        <v>20.634228644051781</v>
      </c>
      <c r="D17" t="s">
        <v>2</v>
      </c>
      <c r="R17"/>
      <c r="S17" s="25"/>
      <c r="T17" s="27"/>
      <c r="U17" s="26"/>
      <c r="V17" s="27"/>
      <c r="W17" s="25"/>
      <c r="X17" s="25"/>
      <c r="Y17" s="25" t="s">
        <v>100</v>
      </c>
      <c r="Z17" s="25" t="s">
        <v>101</v>
      </c>
      <c r="AA17" s="25"/>
      <c r="AC17" s="25"/>
      <c r="AD17" s="27"/>
      <c r="AE17" s="26"/>
      <c r="AF17" s="27"/>
      <c r="AG17" s="25"/>
      <c r="AH17" s="25"/>
      <c r="AI17" s="25" t="s">
        <v>100</v>
      </c>
      <c r="AJ17" s="25" t="s">
        <v>101</v>
      </c>
      <c r="AK17" s="25"/>
      <c r="AM17" s="25"/>
      <c r="AN17" s="27"/>
      <c r="AO17" s="26"/>
      <c r="AP17" s="27"/>
      <c r="AQ17" s="25"/>
      <c r="AR17" s="25"/>
      <c r="AS17" s="25" t="s">
        <v>100</v>
      </c>
      <c r="AT17" s="25" t="s">
        <v>101</v>
      </c>
      <c r="AU17" s="25"/>
    </row>
    <row r="18" spans="2:47" x14ac:dyDescent="0.2">
      <c r="B18" t="str">
        <f>'option 2 single calculation met'!B18</f>
        <v>increase 2015-2030</v>
      </c>
      <c r="C18" s="2">
        <f>'option 2 single calculation met'!C18</f>
        <v>32.496933590525494</v>
      </c>
      <c r="D18" t="s">
        <v>2</v>
      </c>
      <c r="H18"/>
      <c r="R18"/>
      <c r="S18" s="25"/>
      <c r="T18" s="27" t="s">
        <v>25</v>
      </c>
      <c r="U18" s="28">
        <f t="shared" ref="U18:U23" si="0">$U$11*H195/100</f>
        <v>49.250303615501892</v>
      </c>
      <c r="V18" s="27" t="s">
        <v>84</v>
      </c>
      <c r="W18" s="28">
        <f>G51</f>
        <v>3.72175390483488</v>
      </c>
      <c r="X18" s="25" t="s">
        <v>2</v>
      </c>
      <c r="Y18" s="28">
        <f>U18-U18*W18/100</f>
        <v>47.417328517548917</v>
      </c>
      <c r="Z18" s="28">
        <f>IF(Y18&lt;(Y25+Y32),Y18,(Y25+Y32))</f>
        <v>47.417328517548917</v>
      </c>
      <c r="AA18" s="25"/>
      <c r="AC18" s="25"/>
      <c r="AD18" s="27" t="s">
        <v>25</v>
      </c>
      <c r="AE18" s="28">
        <f>$AE$11*H195/100</f>
        <v>50.344159263327001</v>
      </c>
      <c r="AF18" s="27" t="s">
        <v>84</v>
      </c>
      <c r="AG18" s="28">
        <f>K51</f>
        <v>5.5801404153306766</v>
      </c>
      <c r="AH18" s="25" t="s">
        <v>2</v>
      </c>
      <c r="AI18" s="28">
        <f>AE18-AE18*AG18/100</f>
        <v>47.534884485515647</v>
      </c>
      <c r="AJ18" s="28">
        <f>IF(AI18&lt;(AI25+AI32),AI18,(AI25+AI32))</f>
        <v>47.534884485515647</v>
      </c>
      <c r="AK18" s="25"/>
      <c r="AM18" s="25"/>
      <c r="AN18" s="27" t="s">
        <v>25</v>
      </c>
      <c r="AO18" s="28">
        <f>$AO$11*H195/100</f>
        <v>51.073396361877073</v>
      </c>
      <c r="AP18" s="27" t="s">
        <v>84</v>
      </c>
      <c r="AQ18" s="28">
        <f>O51</f>
        <v>8.2000722977957121</v>
      </c>
      <c r="AR18" s="25" t="s">
        <v>2</v>
      </c>
      <c r="AS18" s="28">
        <f>AO18-AO18*AQ18/100</f>
        <v>46.885340935263386</v>
      </c>
      <c r="AT18" s="28">
        <f>IF(AS18&lt;(AS25+AS32),AS18,(AS25+AS32))</f>
        <v>46.885340935263386</v>
      </c>
      <c r="AU18" s="25"/>
    </row>
    <row r="19" spans="2:47" x14ac:dyDescent="0.2">
      <c r="D19" s="2"/>
      <c r="E19" s="2"/>
      <c r="F19" s="2"/>
      <c r="G19" s="2"/>
      <c r="H19" s="2"/>
      <c r="I19" s="2"/>
      <c r="J19" s="2"/>
      <c r="K19" s="2"/>
      <c r="R19"/>
      <c r="S19" s="25"/>
      <c r="T19" s="27" t="s">
        <v>26</v>
      </c>
      <c r="U19" s="28">
        <f t="shared" si="0"/>
        <v>2.3816712014628534</v>
      </c>
      <c r="V19" s="27" t="s">
        <v>84</v>
      </c>
      <c r="W19" s="28">
        <f>G52</f>
        <v>54.175412615358866</v>
      </c>
      <c r="X19" s="25" t="s">
        <v>2</v>
      </c>
      <c r="Y19" s="28">
        <f t="shared" ref="Y19:Y23" si="1">U19-U19*W19/100</f>
        <v>1.0913910009291776</v>
      </c>
      <c r="Z19" s="28">
        <f>IF(Y19&lt;(Y26+Y33),Y19,(Y26+Y33))</f>
        <v>1.0913910009291776</v>
      </c>
      <c r="AA19" s="25"/>
      <c r="AC19" s="25"/>
      <c r="AD19" s="27" t="s">
        <v>26</v>
      </c>
      <c r="AE19" s="28">
        <f t="shared" ref="AE19:AE23" si="2">$AE$11*H196/100</f>
        <v>2.434568428560608</v>
      </c>
      <c r="AF19" s="27" t="s">
        <v>84</v>
      </c>
      <c r="AG19" s="28">
        <f>K52</f>
        <v>81.226867004682248</v>
      </c>
      <c r="AH19" s="25" t="s">
        <v>2</v>
      </c>
      <c r="AI19" s="28">
        <f t="shared" ref="AI19:AI21" si="3">AE19-AE19*AG19/100</f>
        <v>0.45704476895570045</v>
      </c>
      <c r="AJ19" s="28">
        <f>IF(AI19&lt;(AI26+AI33),AI19,(AI26+AI33))</f>
        <v>0.45704476895570045</v>
      </c>
      <c r="AK19" s="25"/>
      <c r="AM19" s="25"/>
      <c r="AN19" s="27" t="s">
        <v>26</v>
      </c>
      <c r="AO19" s="28">
        <f t="shared" ref="AO19:AO23" si="4">$AO$11*H196/100</f>
        <v>2.469833246625778</v>
      </c>
      <c r="AP19" s="27" t="s">
        <v>84</v>
      </c>
      <c r="AQ19" s="28">
        <f>O52</f>
        <v>81.226867004682248</v>
      </c>
      <c r="AR19" s="25" t="s">
        <v>2</v>
      </c>
      <c r="AS19" s="28">
        <f t="shared" ref="AS19:AS21" si="5">AO19-AO19*AQ19/100</f>
        <v>0.46366508015163177</v>
      </c>
      <c r="AT19" s="28">
        <f>IF(AS19&lt;(AS26+AS33),AS19,(AS26+AS33))</f>
        <v>0.46366508015163177</v>
      </c>
      <c r="AU19" s="25"/>
    </row>
    <row r="20" spans="2:47" x14ac:dyDescent="0.2">
      <c r="R20"/>
      <c r="S20" s="25"/>
      <c r="T20" s="27" t="s">
        <v>27</v>
      </c>
      <c r="U20" s="28">
        <f t="shared" si="0"/>
        <v>2.3348990450902742</v>
      </c>
      <c r="V20" s="27" t="s">
        <v>84</v>
      </c>
      <c r="W20" s="28">
        <f>G53</f>
        <v>15.72349052041027</v>
      </c>
      <c r="X20" s="25" t="s">
        <v>2</v>
      </c>
      <c r="Y20" s="28">
        <f t="shared" si="1"/>
        <v>1.967771415074355</v>
      </c>
      <c r="Z20" s="28">
        <f>IF(Y20&lt;(Y27+Y34),Y20,(Y27+Y34))</f>
        <v>1.967771415074355</v>
      </c>
      <c r="AA20" s="25"/>
      <c r="AC20" s="25"/>
      <c r="AD20" s="27" t="s">
        <v>27</v>
      </c>
      <c r="AE20" s="28">
        <f t="shared" si="2"/>
        <v>2.3867574565127283</v>
      </c>
      <c r="AF20" s="27" t="s">
        <v>84</v>
      </c>
      <c r="AG20" s="28">
        <f>K53</f>
        <v>23.574714278939616</v>
      </c>
      <c r="AH20" s="25" t="s">
        <v>2</v>
      </c>
      <c r="AI20" s="28">
        <f t="shared" si="3"/>
        <v>1.824086205608566</v>
      </c>
      <c r="AJ20" s="28">
        <f>IF(AI20&lt;(AI27+AI34),AI20,(AI27+AI34))</f>
        <v>1.824086205608566</v>
      </c>
      <c r="AK20" s="25"/>
      <c r="AM20" s="25"/>
      <c r="AN20" s="27" t="s">
        <v>27</v>
      </c>
      <c r="AO20" s="28">
        <f t="shared" si="4"/>
        <v>2.4213297307943638</v>
      </c>
      <c r="AP20" s="27" t="s">
        <v>84</v>
      </c>
      <c r="AQ20" s="28">
        <f>O53</f>
        <v>34.643279039372707</v>
      </c>
      <c r="AR20" s="25" t="s">
        <v>2</v>
      </c>
      <c r="AS20" s="28">
        <f t="shared" si="5"/>
        <v>1.5825017156919805</v>
      </c>
      <c r="AT20" s="28">
        <f>IF(AS20&lt;(AS27+AS34),AS20,(AS27+AS34))</f>
        <v>1.5825017156919805</v>
      </c>
      <c r="AU20" s="25"/>
    </row>
    <row r="21" spans="2:47" x14ac:dyDescent="0.2">
      <c r="R21"/>
      <c r="S21" s="25"/>
      <c r="T21" s="27" t="s">
        <v>28</v>
      </c>
      <c r="U21" s="28">
        <f t="shared" si="0"/>
        <v>16.809670945221271</v>
      </c>
      <c r="V21" s="27" t="s">
        <v>84</v>
      </c>
      <c r="W21" s="28">
        <f>G54</f>
        <v>32.953929403991523</v>
      </c>
      <c r="X21" s="25" t="s">
        <v>2</v>
      </c>
      <c r="Y21" s="28">
        <f t="shared" si="1"/>
        <v>11.270223848889778</v>
      </c>
      <c r="Z21" s="28">
        <f>IF(Y21&lt;(Y28+Y35),Y21,(Y28+Y35))</f>
        <v>11.270223848889778</v>
      </c>
      <c r="AA21" s="25"/>
      <c r="AC21" s="25"/>
      <c r="AD21" s="27" t="s">
        <v>28</v>
      </c>
      <c r="AE21" s="28">
        <f t="shared" si="2"/>
        <v>17.183015922849478</v>
      </c>
      <c r="AF21" s="27" t="s">
        <v>84</v>
      </c>
      <c r="AG21" s="28">
        <f>K54</f>
        <v>49.408842715871522</v>
      </c>
      <c r="AH21" s="25" t="s">
        <v>2</v>
      </c>
      <c r="AI21" s="28">
        <f t="shared" si="3"/>
        <v>8.6930866116856205</v>
      </c>
      <c r="AJ21" s="28">
        <f>IF(AI21&lt;(AI28+AI35),AI21,(AI28+AI35))</f>
        <v>8.6930866116856205</v>
      </c>
      <c r="AK21" s="25"/>
      <c r="AM21" s="25"/>
      <c r="AN21" s="27" t="s">
        <v>28</v>
      </c>
      <c r="AO21" s="28">
        <f t="shared" si="4"/>
        <v>17.431912574601618</v>
      </c>
      <c r="AP21" s="27" t="s">
        <v>84</v>
      </c>
      <c r="AQ21" s="28">
        <f>O54</f>
        <v>72.606789841247078</v>
      </c>
      <c r="AR21" s="25" t="s">
        <v>2</v>
      </c>
      <c r="AS21" s="28">
        <f t="shared" si="5"/>
        <v>4.7751604462506982</v>
      </c>
      <c r="AT21" s="28">
        <f>IF(AS21&lt;(AS28+AS35),AS21,(AS28+AS35))</f>
        <v>4.7751604462506982</v>
      </c>
      <c r="AU21" s="25"/>
    </row>
    <row r="22" spans="2:47" x14ac:dyDescent="0.2">
      <c r="H22" s="2"/>
      <c r="R22"/>
      <c r="S22" s="25"/>
      <c r="T22" s="27" t="s">
        <v>107</v>
      </c>
      <c r="U22" s="28">
        <f t="shared" si="0"/>
        <v>0.41146167138226708</v>
      </c>
      <c r="V22" s="27" t="s">
        <v>84</v>
      </c>
      <c r="W22" s="28">
        <v>0</v>
      </c>
      <c r="X22" s="25" t="s">
        <v>2</v>
      </c>
      <c r="Y22" s="28">
        <f>U22-U22*W22/100</f>
        <v>0.41146167138226708</v>
      </c>
      <c r="Z22" s="28">
        <f>IF(Y22&lt;(Y29+Y37),Y22,(Y29+Y37))</f>
        <v>0.41146167138226708</v>
      </c>
      <c r="AA22" s="25"/>
      <c r="AC22" s="25"/>
      <c r="AD22" s="27" t="s">
        <v>107</v>
      </c>
      <c r="AE22" s="28">
        <f t="shared" si="2"/>
        <v>0.42060028861027116</v>
      </c>
      <c r="AF22" s="27" t="s">
        <v>84</v>
      </c>
      <c r="AG22" s="28">
        <v>0</v>
      </c>
      <c r="AH22" s="25" t="s">
        <v>2</v>
      </c>
      <c r="AI22" s="28">
        <f>AE22-AE22*AG22/100</f>
        <v>0.42060028861027116</v>
      </c>
      <c r="AJ22" s="28">
        <f>IF(AI22&lt;(AI29+AI37),AI22,(AI29+AI37))</f>
        <v>0.42060028861027116</v>
      </c>
      <c r="AK22" s="25"/>
      <c r="AM22" s="25"/>
      <c r="AN22" s="27" t="s">
        <v>107</v>
      </c>
      <c r="AO22" s="28">
        <f t="shared" si="4"/>
        <v>0.42669270009560711</v>
      </c>
      <c r="AP22" s="27" t="s">
        <v>84</v>
      </c>
      <c r="AQ22" s="28">
        <v>0</v>
      </c>
      <c r="AR22" s="25" t="s">
        <v>2</v>
      </c>
      <c r="AS22" s="28">
        <f>AO22-AO22*AQ22/100</f>
        <v>0.42669270009560711</v>
      </c>
      <c r="AT22" s="28">
        <f>IF(AS22&lt;(AS29+AS37),AS22,(AS29+AS37))</f>
        <v>0.42669270009560711</v>
      </c>
      <c r="AU22" s="25"/>
    </row>
    <row r="23" spans="2:47" x14ac:dyDescent="0.2">
      <c r="B23" s="4" t="str">
        <f>'option 2 single calculation met'!B23</f>
        <v>ratio industrial / consumer ML</v>
      </c>
      <c r="R23"/>
      <c r="S23" s="25"/>
      <c r="T23" s="27" t="s">
        <v>29</v>
      </c>
      <c r="U23" s="28">
        <f t="shared" si="0"/>
        <v>9.4489402479585731</v>
      </c>
      <c r="V23" s="27" t="s">
        <v>84</v>
      </c>
      <c r="W23" s="28">
        <v>0</v>
      </c>
      <c r="X23" s="25" t="s">
        <v>2</v>
      </c>
      <c r="Y23" s="28">
        <f t="shared" si="1"/>
        <v>9.4489402479585731</v>
      </c>
      <c r="Z23" s="28">
        <f>IF(Y23&lt;(Y30+Y37),Y23,(Y30+Y37))</f>
        <v>9.4489402479585731</v>
      </c>
      <c r="AA23" s="25"/>
      <c r="AC23" s="25"/>
      <c r="AD23" s="27" t="s">
        <v>29</v>
      </c>
      <c r="AE23" s="28">
        <f t="shared" si="2"/>
        <v>9.6588024396088663</v>
      </c>
      <c r="AF23" s="27" t="s">
        <v>84</v>
      </c>
      <c r="AG23" s="28">
        <v>0</v>
      </c>
      <c r="AH23" s="25" t="s">
        <v>2</v>
      </c>
      <c r="AI23" s="28">
        <f t="shared" ref="AI23" si="6">AE23-AE23*AG23/100</f>
        <v>9.6588024396088663</v>
      </c>
      <c r="AJ23" s="28">
        <f>IF(AI23&lt;(AI30+AI37),AI23,(AI30+AI37))</f>
        <v>9.6588024396088663</v>
      </c>
      <c r="AK23" s="25"/>
      <c r="AM23" s="25"/>
      <c r="AN23" s="27" t="s">
        <v>29</v>
      </c>
      <c r="AO23" s="28">
        <f t="shared" si="4"/>
        <v>9.7987105673757284</v>
      </c>
      <c r="AP23" s="27" t="s">
        <v>84</v>
      </c>
      <c r="AQ23" s="28">
        <v>0</v>
      </c>
      <c r="AR23" s="25" t="s">
        <v>2</v>
      </c>
      <c r="AS23" s="28">
        <f t="shared" ref="AS23" si="7">AO23-AO23*AQ23/100</f>
        <v>9.7987105673757284</v>
      </c>
      <c r="AT23" s="28">
        <f>IF(AS23&lt;(AS30+AS37),AS23,(AS30+AS37))</f>
        <v>9.7987105673757284</v>
      </c>
      <c r="AU23" s="25"/>
    </row>
    <row r="24" spans="2:47" x14ac:dyDescent="0.2">
      <c r="B24" t="str">
        <f>'option 2 single calculation met'!B24</f>
        <v>as in BAU</v>
      </c>
      <c r="R24"/>
      <c r="S24" s="25"/>
      <c r="T24" s="25"/>
      <c r="U24" s="26"/>
      <c r="V24" s="25"/>
      <c r="W24" s="25"/>
      <c r="X24" s="25"/>
      <c r="Y24" s="25"/>
      <c r="Z24" s="26"/>
      <c r="AA24" s="25"/>
      <c r="AC24" s="25"/>
      <c r="AD24" s="25"/>
      <c r="AE24" s="26"/>
      <c r="AF24" s="25"/>
      <c r="AG24" s="25"/>
      <c r="AH24" s="25"/>
      <c r="AI24" s="25"/>
      <c r="AJ24" s="26"/>
      <c r="AK24" s="25"/>
      <c r="AM24" s="25"/>
      <c r="AN24" s="25"/>
      <c r="AO24" s="26"/>
      <c r="AP24" s="25"/>
      <c r="AQ24" s="25"/>
      <c r="AR24" s="25"/>
      <c r="AS24" s="25"/>
      <c r="AT24" s="26"/>
      <c r="AU24" s="25"/>
    </row>
    <row r="25" spans="2:47" x14ac:dyDescent="0.2">
      <c r="B25" t="str">
        <f>'option 2 single calculation met'!B25</f>
        <v>consumer (MSW)</v>
      </c>
      <c r="C25" s="3">
        <f>'option 2 single calculation met'!C25</f>
        <v>0.78366280390281762</v>
      </c>
      <c r="D25" s="79"/>
      <c r="E25" s="79"/>
      <c r="F25" s="79"/>
      <c r="G25" s="307"/>
      <c r="H25" s="80"/>
      <c r="I25" s="80"/>
      <c r="J25" s="80"/>
      <c r="K25" s="80"/>
      <c r="L25" s="79"/>
      <c r="M25" s="79"/>
      <c r="N25" s="79"/>
      <c r="O25" s="79"/>
      <c r="P25" s="79"/>
      <c r="Q25" s="79"/>
      <c r="R25"/>
      <c r="S25" s="25"/>
      <c r="T25" s="27" t="s">
        <v>38</v>
      </c>
      <c r="U25" s="28">
        <f t="shared" ref="U25:U30" si="8">$U$15*H128/100</f>
        <v>40.714176822055109</v>
      </c>
      <c r="V25" s="27" t="s">
        <v>84</v>
      </c>
      <c r="W25" s="190">
        <f>H156</f>
        <v>0</v>
      </c>
      <c r="X25" s="25" t="s">
        <v>2</v>
      </c>
      <c r="Y25" s="28">
        <f>U25-W25*U25/100</f>
        <v>40.714176822055109</v>
      </c>
      <c r="Z25" s="29" t="s">
        <v>97</v>
      </c>
      <c r="AA25" s="25"/>
      <c r="AC25" s="25"/>
      <c r="AD25" s="27" t="s">
        <v>38</v>
      </c>
      <c r="AE25" s="28">
        <f t="shared" ref="AE25:AE30" si="9">$AE$15*H128/100</f>
        <v>41.618443983757182</v>
      </c>
      <c r="AF25" s="27" t="s">
        <v>84</v>
      </c>
      <c r="AG25" s="190">
        <f>H156</f>
        <v>0</v>
      </c>
      <c r="AH25" s="25" t="s">
        <v>2</v>
      </c>
      <c r="AI25" s="28">
        <f>AE25-AG25*AE25/100</f>
        <v>41.618443983757182</v>
      </c>
      <c r="AJ25" s="29" t="s">
        <v>97</v>
      </c>
      <c r="AK25" s="25"/>
      <c r="AM25" s="25"/>
      <c r="AN25" s="27" t="s">
        <v>38</v>
      </c>
      <c r="AO25" s="28">
        <f t="shared" ref="AO25:AO30" si="10">$AO$15*H128/100</f>
        <v>42.221288758225228</v>
      </c>
      <c r="AP25" s="27" t="s">
        <v>84</v>
      </c>
      <c r="AQ25" s="190">
        <f>H156</f>
        <v>0</v>
      </c>
      <c r="AR25" s="25" t="s">
        <v>2</v>
      </c>
      <c r="AS25" s="28">
        <f>AO25-AQ25*AO25/100</f>
        <v>42.221288758225228</v>
      </c>
      <c r="AT25" s="29" t="s">
        <v>97</v>
      </c>
      <c r="AU25" s="25"/>
    </row>
    <row r="26" spans="2:47" x14ac:dyDescent="0.2">
      <c r="B26" t="str">
        <f>'option 2 single calculation met'!B26</f>
        <v>industrial</v>
      </c>
      <c r="C26" s="3">
        <f>'option 2 single calculation met'!C26</f>
        <v>0.21633719609718238</v>
      </c>
      <c r="D26" s="11"/>
      <c r="E26" s="11"/>
      <c r="F26" s="11"/>
      <c r="G26" s="307"/>
      <c r="H26" s="11"/>
      <c r="I26" s="11"/>
      <c r="J26" s="11"/>
      <c r="K26" s="11"/>
      <c r="L26" s="79"/>
      <c r="M26" s="11"/>
      <c r="N26" s="11"/>
      <c r="O26" s="11"/>
      <c r="P26" s="11"/>
      <c r="Q26" s="11"/>
      <c r="R26" s="11"/>
      <c r="S26" s="25"/>
      <c r="T26" s="27" t="s">
        <v>39</v>
      </c>
      <c r="U26" s="28">
        <f t="shared" si="8"/>
        <v>2.0770514927350527</v>
      </c>
      <c r="V26" s="27" t="s">
        <v>84</v>
      </c>
      <c r="W26" s="190">
        <f>H157</f>
        <v>0</v>
      </c>
      <c r="X26" s="25" t="s">
        <v>2</v>
      </c>
      <c r="Y26" s="28">
        <f t="shared" ref="Y26:Y30" si="11">U26-W26*U26/100</f>
        <v>2.0770514927350527</v>
      </c>
      <c r="Z26" s="29" t="s">
        <v>97</v>
      </c>
      <c r="AA26" s="25"/>
      <c r="AC26" s="25"/>
      <c r="AD26" s="27" t="s">
        <v>39</v>
      </c>
      <c r="AE26" s="28">
        <f t="shared" si="9"/>
        <v>2.1231830764891209</v>
      </c>
      <c r="AF26" s="27" t="s">
        <v>84</v>
      </c>
      <c r="AG26" s="190">
        <f>H157</f>
        <v>0</v>
      </c>
      <c r="AH26" s="25" t="s">
        <v>2</v>
      </c>
      <c r="AI26" s="28">
        <f t="shared" ref="AI26:AI30" si="12">AE26-AG26*AE26/100</f>
        <v>2.1231830764891209</v>
      </c>
      <c r="AJ26" s="29" t="s">
        <v>97</v>
      </c>
      <c r="AK26" s="25"/>
      <c r="AM26" s="25"/>
      <c r="AN26" s="27" t="s">
        <v>39</v>
      </c>
      <c r="AO26" s="28">
        <f t="shared" si="10"/>
        <v>2.1539374656584998</v>
      </c>
      <c r="AP26" s="27" t="s">
        <v>84</v>
      </c>
      <c r="AQ26" s="190">
        <f>H157</f>
        <v>0</v>
      </c>
      <c r="AR26" s="25" t="s">
        <v>2</v>
      </c>
      <c r="AS26" s="28">
        <f t="shared" ref="AS26:AS30" si="13">AO26-AQ26*AO26/100</f>
        <v>2.1539374656584998</v>
      </c>
      <c r="AT26" s="29" t="s">
        <v>97</v>
      </c>
      <c r="AU26" s="25"/>
    </row>
    <row r="27" spans="2:47" x14ac:dyDescent="0.2">
      <c r="B27" s="81"/>
      <c r="C27" s="11"/>
      <c r="D27" s="11"/>
      <c r="E27" s="11"/>
      <c r="F27" s="11"/>
      <c r="G27" s="307"/>
      <c r="H27" s="11"/>
      <c r="I27" s="11"/>
      <c r="J27" s="11"/>
      <c r="K27" s="11"/>
      <c r="L27" s="79"/>
      <c r="M27" s="11"/>
      <c r="N27" s="11"/>
      <c r="O27" s="11"/>
      <c r="P27" s="11"/>
      <c r="Q27" s="11"/>
      <c r="R27" s="11"/>
      <c r="S27" s="25"/>
      <c r="T27" s="27" t="s">
        <v>40</v>
      </c>
      <c r="U27" s="28">
        <f t="shared" si="8"/>
        <v>2.023527573928293</v>
      </c>
      <c r="V27" s="27" t="s">
        <v>84</v>
      </c>
      <c r="W27" s="190">
        <f>H158</f>
        <v>0</v>
      </c>
      <c r="X27" s="25" t="s">
        <v>2</v>
      </c>
      <c r="Y27" s="28">
        <f t="shared" si="11"/>
        <v>2.023527573928293</v>
      </c>
      <c r="Z27" s="29" t="s">
        <v>97</v>
      </c>
      <c r="AA27" s="25"/>
      <c r="AC27" s="25"/>
      <c r="AD27" s="27" t="s">
        <v>40</v>
      </c>
      <c r="AE27" s="28">
        <f t="shared" si="9"/>
        <v>2.068470384485396</v>
      </c>
      <c r="AF27" s="27" t="s">
        <v>84</v>
      </c>
      <c r="AG27" s="190">
        <f>H158</f>
        <v>0</v>
      </c>
      <c r="AH27" s="25" t="s">
        <v>2</v>
      </c>
      <c r="AI27" s="28">
        <f t="shared" si="12"/>
        <v>2.068470384485396</v>
      </c>
      <c r="AJ27" s="29" t="s">
        <v>97</v>
      </c>
      <c r="AK27" s="25"/>
      <c r="AM27" s="25"/>
      <c r="AN27" s="27" t="s">
        <v>40</v>
      </c>
      <c r="AO27" s="28">
        <f t="shared" si="10"/>
        <v>2.0984322581901313</v>
      </c>
      <c r="AP27" s="27" t="s">
        <v>84</v>
      </c>
      <c r="AQ27" s="190">
        <f>H158</f>
        <v>0</v>
      </c>
      <c r="AR27" s="25" t="s">
        <v>2</v>
      </c>
      <c r="AS27" s="28">
        <f t="shared" si="13"/>
        <v>2.0984322581901313</v>
      </c>
      <c r="AT27" s="29" t="s">
        <v>97</v>
      </c>
      <c r="AU27" s="25"/>
    </row>
    <row r="28" spans="2:47" x14ac:dyDescent="0.2">
      <c r="B28" s="81"/>
      <c r="C28" s="11"/>
      <c r="D28" s="11"/>
      <c r="E28" s="11"/>
      <c r="F28" s="11"/>
      <c r="G28" s="307"/>
      <c r="H28" s="308"/>
      <c r="I28" s="308"/>
      <c r="J28" s="308"/>
      <c r="K28" s="308"/>
      <c r="L28" s="79"/>
      <c r="M28" s="11"/>
      <c r="N28" s="79"/>
      <c r="O28" s="79"/>
      <c r="P28" s="79"/>
      <c r="Q28" s="79"/>
      <c r="R28"/>
      <c r="S28" s="25"/>
      <c r="T28" s="27" t="s">
        <v>41</v>
      </c>
      <c r="U28" s="28">
        <f t="shared" si="8"/>
        <v>3.6641848489839943</v>
      </c>
      <c r="V28" s="27" t="s">
        <v>84</v>
      </c>
      <c r="W28" s="190">
        <f>H159</f>
        <v>0</v>
      </c>
      <c r="X28" s="25" t="s">
        <v>2</v>
      </c>
      <c r="Y28" s="28">
        <f t="shared" si="11"/>
        <v>3.6641848489839943</v>
      </c>
      <c r="Z28" s="29" t="s">
        <v>97</v>
      </c>
      <c r="AA28" s="25"/>
      <c r="AC28" s="25"/>
      <c r="AD28" s="27" t="s">
        <v>41</v>
      </c>
      <c r="AE28" s="28">
        <f t="shared" si="9"/>
        <v>3.7455668709716674</v>
      </c>
      <c r="AF28" s="27" t="s">
        <v>84</v>
      </c>
      <c r="AG28" s="190">
        <f>H159</f>
        <v>0</v>
      </c>
      <c r="AH28" s="25" t="s">
        <v>2</v>
      </c>
      <c r="AI28" s="28">
        <f t="shared" si="12"/>
        <v>3.7455668709716674</v>
      </c>
      <c r="AJ28" s="29" t="s">
        <v>97</v>
      </c>
      <c r="AK28" s="25"/>
      <c r="AM28" s="25"/>
      <c r="AN28" s="27" t="s">
        <v>41</v>
      </c>
      <c r="AO28" s="28">
        <f t="shared" si="10"/>
        <v>3.7998215522967826</v>
      </c>
      <c r="AP28" s="27" t="s">
        <v>84</v>
      </c>
      <c r="AQ28" s="190">
        <f>H159</f>
        <v>0</v>
      </c>
      <c r="AR28" s="25" t="s">
        <v>2</v>
      </c>
      <c r="AS28" s="28">
        <f t="shared" si="13"/>
        <v>3.7998215522967826</v>
      </c>
      <c r="AT28" s="29" t="s">
        <v>97</v>
      </c>
      <c r="AU28" s="25"/>
    </row>
    <row r="29" spans="2:47" x14ac:dyDescent="0.2">
      <c r="B29" s="82"/>
      <c r="C29" s="82"/>
      <c r="D29" s="82"/>
      <c r="E29" s="82"/>
      <c r="F29" s="82"/>
      <c r="G29" s="307"/>
      <c r="H29" s="11"/>
      <c r="I29" s="11"/>
      <c r="J29" s="11"/>
      <c r="K29" s="11"/>
      <c r="L29" s="79"/>
      <c r="M29" s="75"/>
      <c r="N29" s="11"/>
      <c r="O29" s="11"/>
      <c r="P29" s="11"/>
      <c r="Q29" s="11"/>
      <c r="R29" s="3"/>
      <c r="S29" s="25"/>
      <c r="T29" s="27" t="s">
        <v>105</v>
      </c>
      <c r="U29" s="28">
        <f t="shared" si="8"/>
        <v>0.35883503911995668</v>
      </c>
      <c r="V29" s="27" t="s">
        <v>84</v>
      </c>
      <c r="W29" s="190">
        <f>H160</f>
        <v>0</v>
      </c>
      <c r="X29" s="25" t="s">
        <v>2</v>
      </c>
      <c r="Y29" s="28">
        <f t="shared" si="11"/>
        <v>0.35883503911995668</v>
      </c>
      <c r="Z29" s="29" t="s">
        <v>97</v>
      </c>
      <c r="AA29" s="25"/>
      <c r="AC29" s="25"/>
      <c r="AD29" s="27" t="s">
        <v>105</v>
      </c>
      <c r="AE29" s="28">
        <f t="shared" si="9"/>
        <v>0.36680481200183107</v>
      </c>
      <c r="AF29" s="27" t="s">
        <v>84</v>
      </c>
      <c r="AG29" s="190">
        <f>H160</f>
        <v>0</v>
      </c>
      <c r="AH29" s="25" t="s">
        <v>2</v>
      </c>
      <c r="AI29" s="28">
        <f t="shared" si="12"/>
        <v>0.36680481200183107</v>
      </c>
      <c r="AJ29" s="29" t="s">
        <v>97</v>
      </c>
      <c r="AK29" s="25"/>
      <c r="AM29" s="25"/>
      <c r="AN29" s="27" t="s">
        <v>105</v>
      </c>
      <c r="AO29" s="28">
        <f t="shared" si="10"/>
        <v>0.37211799392308076</v>
      </c>
      <c r="AP29" s="27" t="s">
        <v>84</v>
      </c>
      <c r="AQ29" s="190">
        <f>H160</f>
        <v>0</v>
      </c>
      <c r="AR29" s="25" t="s">
        <v>2</v>
      </c>
      <c r="AS29" s="28">
        <f t="shared" si="13"/>
        <v>0.37211799392308076</v>
      </c>
      <c r="AT29" s="29" t="s">
        <v>97</v>
      </c>
      <c r="AU29" s="25"/>
    </row>
    <row r="30" spans="2:47" x14ac:dyDescent="0.2">
      <c r="R30"/>
      <c r="S30" s="25"/>
      <c r="T30" s="27" t="s">
        <v>52</v>
      </c>
      <c r="U30" s="28">
        <f t="shared" si="8"/>
        <v>0.18120725081092665</v>
      </c>
      <c r="V30" s="27" t="s">
        <v>84</v>
      </c>
      <c r="W30" s="190">
        <f t="shared" ref="W30" si="14">G161</f>
        <v>0</v>
      </c>
      <c r="X30" s="25" t="s">
        <v>2</v>
      </c>
      <c r="Y30" s="28">
        <f t="shared" si="11"/>
        <v>0.18120725081092665</v>
      </c>
      <c r="Z30" s="29" t="s">
        <v>97</v>
      </c>
      <c r="AA30" s="25"/>
      <c r="AC30" s="25"/>
      <c r="AD30" s="27" t="s">
        <v>52</v>
      </c>
      <c r="AE30" s="28">
        <f t="shared" si="9"/>
        <v>0.18523188741568464</v>
      </c>
      <c r="AF30" s="27" t="s">
        <v>84</v>
      </c>
      <c r="AG30" s="190">
        <f t="shared" ref="AG30" si="15">G161</f>
        <v>0</v>
      </c>
      <c r="AH30" s="25" t="s">
        <v>2</v>
      </c>
      <c r="AI30" s="28">
        <f t="shared" si="12"/>
        <v>0.18523188741568464</v>
      </c>
      <c r="AJ30" s="29" t="s">
        <v>97</v>
      </c>
      <c r="AK30" s="25"/>
      <c r="AM30" s="25"/>
      <c r="AN30" s="27" t="s">
        <v>52</v>
      </c>
      <c r="AO30" s="28">
        <f t="shared" si="10"/>
        <v>0.1879149784855233</v>
      </c>
      <c r="AP30" s="27" t="s">
        <v>84</v>
      </c>
      <c r="AQ30" s="190">
        <f t="shared" ref="AQ30" si="16">G161</f>
        <v>0</v>
      </c>
      <c r="AR30" s="25" t="s">
        <v>2</v>
      </c>
      <c r="AS30" s="28">
        <f t="shared" si="13"/>
        <v>0.1879149784855233</v>
      </c>
      <c r="AT30" s="29" t="s">
        <v>97</v>
      </c>
      <c r="AU30" s="25"/>
    </row>
    <row r="31" spans="2:47" x14ac:dyDescent="0.2">
      <c r="R31"/>
      <c r="S31" s="25"/>
      <c r="T31" s="27"/>
      <c r="U31" s="26"/>
      <c r="V31" s="25"/>
      <c r="W31" s="25"/>
      <c r="X31" s="25"/>
      <c r="Y31" s="26"/>
      <c r="Z31" s="25"/>
      <c r="AA31" s="25"/>
      <c r="AC31" s="25"/>
      <c r="AD31" s="27"/>
      <c r="AE31" s="26"/>
      <c r="AF31" s="25"/>
      <c r="AG31" s="25"/>
      <c r="AH31" s="25"/>
      <c r="AI31" s="26"/>
      <c r="AJ31" s="25"/>
      <c r="AK31" s="25"/>
      <c r="AM31" s="25"/>
      <c r="AN31" s="27"/>
      <c r="AO31" s="26"/>
      <c r="AP31" s="25"/>
      <c r="AQ31" s="25"/>
      <c r="AR31" s="25"/>
      <c r="AS31" s="26"/>
      <c r="AT31" s="25"/>
      <c r="AU31" s="25"/>
    </row>
    <row r="32" spans="2:47" x14ac:dyDescent="0.2">
      <c r="R32"/>
      <c r="S32" s="25"/>
      <c r="T32" s="27" t="s">
        <v>42</v>
      </c>
      <c r="U32" s="28">
        <f>U18-U25</f>
        <v>8.5361267934467833</v>
      </c>
      <c r="V32" s="27" t="s">
        <v>84</v>
      </c>
      <c r="W32" s="28">
        <f>W18</f>
        <v>3.72175390483488</v>
      </c>
      <c r="X32" s="25" t="s">
        <v>2</v>
      </c>
      <c r="Y32" s="28">
        <f>U32-W32*U32/100</f>
        <v>8.2184331611900205</v>
      </c>
      <c r="Z32" s="29" t="s">
        <v>97</v>
      </c>
      <c r="AA32" s="25"/>
      <c r="AC32" s="25"/>
      <c r="AD32" s="27" t="s">
        <v>42</v>
      </c>
      <c r="AE32" s="28">
        <f t="shared" ref="AE32:AE37" si="17">AE18-AE25</f>
        <v>8.725715279569819</v>
      </c>
      <c r="AF32" s="27" t="s">
        <v>84</v>
      </c>
      <c r="AG32" s="28">
        <f>AG18</f>
        <v>5.5801404153306766</v>
      </c>
      <c r="AH32" s="25" t="s">
        <v>2</v>
      </c>
      <c r="AI32" s="28">
        <f>AE32-AG32*AE32/100</f>
        <v>8.2388081147278598</v>
      </c>
      <c r="AJ32" s="29" t="s">
        <v>97</v>
      </c>
      <c r="AK32" s="25"/>
      <c r="AM32" s="25"/>
      <c r="AN32" s="27" t="s">
        <v>42</v>
      </c>
      <c r="AO32" s="28">
        <f t="shared" ref="AO32:AO37" si="18">AO18-AO25</f>
        <v>8.8521076036518451</v>
      </c>
      <c r="AP32" s="27" t="s">
        <v>84</v>
      </c>
      <c r="AQ32" s="28">
        <f>AQ18</f>
        <v>8.2000722977957121</v>
      </c>
      <c r="AR32" s="25" t="s">
        <v>2</v>
      </c>
      <c r="AS32" s="28">
        <f>AO32-AQ32*AO32/100</f>
        <v>8.126228380273723</v>
      </c>
      <c r="AT32" s="29" t="s">
        <v>97</v>
      </c>
      <c r="AU32" s="25"/>
    </row>
    <row r="33" spans="2:47" x14ac:dyDescent="0.2">
      <c r="R33"/>
      <c r="S33" s="25"/>
      <c r="T33" s="27" t="s">
        <v>43</v>
      </c>
      <c r="U33" s="28">
        <f t="shared" ref="U33:U37" si="19">U19-U26</f>
        <v>0.30461970872780064</v>
      </c>
      <c r="V33" s="27" t="s">
        <v>84</v>
      </c>
      <c r="W33" s="28">
        <f>W19</f>
        <v>54.175412615358866</v>
      </c>
      <c r="X33" s="25" t="s">
        <v>2</v>
      </c>
      <c r="Y33" s="28">
        <f t="shared" ref="Y33:Y37" si="20">U33-W33*U33/100</f>
        <v>0.1395907246168103</v>
      </c>
      <c r="Z33" s="29" t="s">
        <v>97</v>
      </c>
      <c r="AA33" s="25"/>
      <c r="AC33" s="25"/>
      <c r="AD33" s="27" t="s">
        <v>43</v>
      </c>
      <c r="AE33" s="28">
        <f t="shared" si="17"/>
        <v>0.3113853520714871</v>
      </c>
      <c r="AF33" s="27" t="s">
        <v>84</v>
      </c>
      <c r="AG33" s="28">
        <f>AG19</f>
        <v>81.226867004682248</v>
      </c>
      <c r="AH33" s="25" t="s">
        <v>2</v>
      </c>
      <c r="AI33" s="28">
        <f t="shared" ref="AI33:AI37" si="21">AE33-AG33*AE33/100</f>
        <v>5.8456786272318706E-2</v>
      </c>
      <c r="AJ33" s="29" t="s">
        <v>97</v>
      </c>
      <c r="AK33" s="25"/>
      <c r="AM33" s="25"/>
      <c r="AN33" s="27" t="s">
        <v>43</v>
      </c>
      <c r="AO33" s="28">
        <f t="shared" si="18"/>
        <v>0.31589578096727822</v>
      </c>
      <c r="AP33" s="27" t="s">
        <v>84</v>
      </c>
      <c r="AQ33" s="28">
        <f>AQ19</f>
        <v>81.226867004682248</v>
      </c>
      <c r="AR33" s="25" t="s">
        <v>2</v>
      </c>
      <c r="AS33" s="28">
        <f t="shared" ref="AS33:AS37" si="22">AO33-AQ33*AO33/100</f>
        <v>5.9303535087584791E-2</v>
      </c>
      <c r="AT33" s="29" t="s">
        <v>97</v>
      </c>
      <c r="AU33" s="25"/>
    </row>
    <row r="34" spans="2:47" ht="13.5" thickBot="1" x14ac:dyDescent="0.25">
      <c r="B34" s="84" t="s">
        <v>22</v>
      </c>
      <c r="C34" s="53"/>
      <c r="D34">
        <v>2012</v>
      </c>
      <c r="E34" s="10">
        <v>24.434055020947763</v>
      </c>
      <c r="F34" t="s">
        <v>2</v>
      </c>
      <c r="G34" t="s">
        <v>149</v>
      </c>
      <c r="R34"/>
      <c r="S34" s="25"/>
      <c r="T34" s="27" t="s">
        <v>44</v>
      </c>
      <c r="U34" s="28">
        <f t="shared" si="19"/>
        <v>0.31137147116198127</v>
      </c>
      <c r="V34" s="27" t="s">
        <v>84</v>
      </c>
      <c r="W34" s="28">
        <f>W20</f>
        <v>15.72349052041027</v>
      </c>
      <c r="X34" s="25" t="s">
        <v>2</v>
      </c>
      <c r="Y34" s="28">
        <f t="shared" si="20"/>
        <v>0.26241300741056517</v>
      </c>
      <c r="Z34" s="29" t="s">
        <v>97</v>
      </c>
      <c r="AA34" s="25"/>
      <c r="AC34" s="25"/>
      <c r="AD34" s="27" t="s">
        <v>44</v>
      </c>
      <c r="AE34" s="28">
        <f t="shared" si="17"/>
        <v>0.31828707202733231</v>
      </c>
      <c r="AF34" s="27" t="s">
        <v>84</v>
      </c>
      <c r="AG34" s="28">
        <f>AG20</f>
        <v>23.574714278939616</v>
      </c>
      <c r="AH34" s="25" t="s">
        <v>2</v>
      </c>
      <c r="AI34" s="28">
        <f t="shared" si="21"/>
        <v>0.24325180421008596</v>
      </c>
      <c r="AJ34" s="29" t="s">
        <v>97</v>
      </c>
      <c r="AK34" s="25"/>
      <c r="AM34" s="25"/>
      <c r="AN34" s="27" t="s">
        <v>44</v>
      </c>
      <c r="AO34" s="28">
        <f t="shared" si="18"/>
        <v>0.32289747260423241</v>
      </c>
      <c r="AP34" s="27" t="s">
        <v>84</v>
      </c>
      <c r="AQ34" s="28">
        <f>AQ20</f>
        <v>34.643279039372707</v>
      </c>
      <c r="AR34" s="25" t="s">
        <v>2</v>
      </c>
      <c r="AS34" s="28">
        <f t="shared" si="22"/>
        <v>0.21103520015886612</v>
      </c>
      <c r="AT34" s="29" t="s">
        <v>97</v>
      </c>
      <c r="AU34" s="25"/>
    </row>
    <row r="35" spans="2:47" ht="13.5" thickTop="1" x14ac:dyDescent="0.2">
      <c r="D35">
        <v>2020</v>
      </c>
      <c r="E35" s="130">
        <f>'option 1 full implementation'!E35</f>
        <v>35</v>
      </c>
      <c r="F35" t="s">
        <v>2</v>
      </c>
      <c r="R35"/>
      <c r="S35" s="25"/>
      <c r="T35" s="27" t="s">
        <v>45</v>
      </c>
      <c r="U35" s="28">
        <f t="shared" si="19"/>
        <v>13.145486096237276</v>
      </c>
      <c r="V35" s="27" t="s">
        <v>84</v>
      </c>
      <c r="W35" s="28">
        <f>W21</f>
        <v>32.953929403991523</v>
      </c>
      <c r="X35" s="25" t="s">
        <v>2</v>
      </c>
      <c r="Y35" s="28">
        <f t="shared" si="20"/>
        <v>8.8135318882717222</v>
      </c>
      <c r="Z35" s="29" t="s">
        <v>97</v>
      </c>
      <c r="AA35" s="25"/>
      <c r="AC35" s="25"/>
      <c r="AD35" s="27" t="s">
        <v>45</v>
      </c>
      <c r="AE35" s="28">
        <f t="shared" si="17"/>
        <v>13.43744905187781</v>
      </c>
      <c r="AF35" s="27" t="s">
        <v>84</v>
      </c>
      <c r="AG35" s="28">
        <f>AG21</f>
        <v>49.408842715871522</v>
      </c>
      <c r="AH35" s="25" t="s">
        <v>2</v>
      </c>
      <c r="AI35" s="28">
        <f t="shared" si="21"/>
        <v>6.7981609848101341</v>
      </c>
      <c r="AJ35" s="29" t="s">
        <v>97</v>
      </c>
      <c r="AK35" s="25"/>
      <c r="AM35" s="25"/>
      <c r="AN35" s="27" t="s">
        <v>45</v>
      </c>
      <c r="AO35" s="28">
        <f t="shared" si="18"/>
        <v>13.632091022304836</v>
      </c>
      <c r="AP35" s="27" t="s">
        <v>84</v>
      </c>
      <c r="AQ35" s="28">
        <f>AQ21</f>
        <v>72.606789841247078</v>
      </c>
      <c r="AR35" s="25" t="s">
        <v>2</v>
      </c>
      <c r="AS35" s="28">
        <f t="shared" si="22"/>
        <v>3.7342673427724531</v>
      </c>
      <c r="AT35" s="29" t="s">
        <v>97</v>
      </c>
      <c r="AU35" s="25"/>
    </row>
    <row r="36" spans="2:47" x14ac:dyDescent="0.2">
      <c r="D36">
        <v>2025</v>
      </c>
      <c r="E36" s="106">
        <v>60</v>
      </c>
      <c r="F36" t="s">
        <v>2</v>
      </c>
      <c r="G36" t="s">
        <v>151</v>
      </c>
      <c r="R36"/>
      <c r="S36" s="25"/>
      <c r="T36" s="27" t="s">
        <v>108</v>
      </c>
      <c r="U36" s="28">
        <f t="shared" si="19"/>
        <v>5.2626632262310402E-2</v>
      </c>
      <c r="V36" s="27" t="s">
        <v>84</v>
      </c>
      <c r="W36" s="28">
        <f>W22</f>
        <v>0</v>
      </c>
      <c r="X36" s="25" t="s">
        <v>2</v>
      </c>
      <c r="Y36" s="28">
        <f t="shared" si="20"/>
        <v>5.2626632262310402E-2</v>
      </c>
      <c r="Z36" s="29" t="s">
        <v>97</v>
      </c>
      <c r="AA36" s="25"/>
      <c r="AC36" s="25"/>
      <c r="AD36" s="27" t="s">
        <v>108</v>
      </c>
      <c r="AE36" s="28">
        <f t="shared" si="17"/>
        <v>5.3795476608440085E-2</v>
      </c>
      <c r="AF36" s="27" t="s">
        <v>84</v>
      </c>
      <c r="AG36" s="28">
        <f>AG22</f>
        <v>0</v>
      </c>
      <c r="AH36" s="25" t="s">
        <v>2</v>
      </c>
      <c r="AI36" s="28">
        <f t="shared" si="21"/>
        <v>5.3795476608440085E-2</v>
      </c>
      <c r="AJ36" s="29" t="s">
        <v>97</v>
      </c>
      <c r="AK36" s="25"/>
      <c r="AM36" s="25"/>
      <c r="AN36" s="27" t="s">
        <v>108</v>
      </c>
      <c r="AO36" s="28">
        <f t="shared" si="18"/>
        <v>5.4574706172526355E-2</v>
      </c>
      <c r="AP36" s="27" t="s">
        <v>84</v>
      </c>
      <c r="AQ36" s="28">
        <f>AQ22</f>
        <v>0</v>
      </c>
      <c r="AR36" s="25" t="s">
        <v>2</v>
      </c>
      <c r="AS36" s="28">
        <f t="shared" si="22"/>
        <v>5.4574706172526355E-2</v>
      </c>
      <c r="AT36" s="29" t="s">
        <v>97</v>
      </c>
      <c r="AU36" s="25"/>
    </row>
    <row r="37" spans="2:47" ht="13.5" thickBot="1" x14ac:dyDescent="0.25">
      <c r="C37" s="9"/>
      <c r="D37">
        <v>2030</v>
      </c>
      <c r="E37" s="132">
        <v>70</v>
      </c>
      <c r="F37" t="s">
        <v>2</v>
      </c>
      <c r="G37" t="s">
        <v>151</v>
      </c>
      <c r="R37"/>
      <c r="S37" s="25"/>
      <c r="T37" s="27" t="s">
        <v>96</v>
      </c>
      <c r="U37" s="28">
        <f t="shared" si="19"/>
        <v>9.2677329971476468</v>
      </c>
      <c r="V37" s="27" t="s">
        <v>84</v>
      </c>
      <c r="W37" s="28">
        <v>0</v>
      </c>
      <c r="X37" s="25" t="s">
        <v>2</v>
      </c>
      <c r="Y37" s="28">
        <f t="shared" si="20"/>
        <v>9.2677329971476468</v>
      </c>
      <c r="Z37" s="29" t="s">
        <v>97</v>
      </c>
      <c r="AA37" s="25"/>
      <c r="AC37" s="25"/>
      <c r="AD37" s="27" t="s">
        <v>96</v>
      </c>
      <c r="AE37" s="28">
        <f t="shared" si="17"/>
        <v>9.4735705521931823</v>
      </c>
      <c r="AF37" s="27" t="s">
        <v>84</v>
      </c>
      <c r="AG37" s="28">
        <v>0</v>
      </c>
      <c r="AH37" s="25" t="s">
        <v>2</v>
      </c>
      <c r="AI37" s="28">
        <f t="shared" si="21"/>
        <v>9.4735705521931823</v>
      </c>
      <c r="AJ37" s="29" t="s">
        <v>97</v>
      </c>
      <c r="AK37" s="25"/>
      <c r="AM37" s="25"/>
      <c r="AN37" s="27" t="s">
        <v>96</v>
      </c>
      <c r="AO37" s="28">
        <f t="shared" si="18"/>
        <v>9.6107955888902055</v>
      </c>
      <c r="AP37" s="27" t="s">
        <v>84</v>
      </c>
      <c r="AQ37" s="28">
        <v>0</v>
      </c>
      <c r="AR37" s="25" t="s">
        <v>2</v>
      </c>
      <c r="AS37" s="28">
        <f t="shared" si="22"/>
        <v>9.6107955888902055</v>
      </c>
      <c r="AT37" s="29" t="s">
        <v>97</v>
      </c>
      <c r="AU37" s="25"/>
    </row>
    <row r="38" spans="2:47" ht="13.5" thickTop="1" x14ac:dyDescent="0.2">
      <c r="E38" s="34"/>
      <c r="R38"/>
      <c r="S38" s="25"/>
      <c r="T38" s="25"/>
      <c r="U38" s="26"/>
      <c r="V38" s="25"/>
      <c r="W38" s="25"/>
      <c r="X38" s="25"/>
      <c r="Y38" s="26"/>
      <c r="Z38" s="25"/>
      <c r="AA38" s="25"/>
      <c r="AC38" s="25"/>
      <c r="AD38" s="25"/>
      <c r="AE38" s="26"/>
      <c r="AF38" s="25"/>
      <c r="AG38" s="25"/>
      <c r="AH38" s="25"/>
      <c r="AI38" s="26"/>
      <c r="AJ38" s="25"/>
      <c r="AK38" s="25"/>
      <c r="AM38" s="25"/>
      <c r="AN38" s="25"/>
      <c r="AO38" s="26"/>
      <c r="AP38" s="25"/>
      <c r="AQ38" s="25"/>
      <c r="AR38" s="25"/>
      <c r="AS38" s="26"/>
      <c r="AT38" s="25"/>
      <c r="AU38" s="25"/>
    </row>
    <row r="39" spans="2:47" x14ac:dyDescent="0.2">
      <c r="E39" s="34"/>
      <c r="R39"/>
      <c r="S39" s="25"/>
      <c r="T39" s="27" t="s">
        <v>47</v>
      </c>
      <c r="U39" s="28">
        <f>$U$16*H136/100</f>
        <v>1.3359309652142199</v>
      </c>
      <c r="V39" s="27" t="s">
        <v>84</v>
      </c>
      <c r="W39" s="28">
        <f>H156</f>
        <v>0</v>
      </c>
      <c r="X39" s="25" t="s">
        <v>2</v>
      </c>
      <c r="Y39" s="25"/>
      <c r="Z39" s="28">
        <f>U39-W39*U39/100</f>
        <v>1.3359309652142199</v>
      </c>
      <c r="AA39" s="25"/>
      <c r="AC39" s="25"/>
      <c r="AD39" s="27" t="s">
        <v>47</v>
      </c>
      <c r="AE39" s="28">
        <f>$AE$16*H136/100</f>
        <v>1.4673012657278093</v>
      </c>
      <c r="AF39" s="27" t="s">
        <v>84</v>
      </c>
      <c r="AG39" s="28">
        <f>H156</f>
        <v>0</v>
      </c>
      <c r="AH39" s="25" t="s">
        <v>2</v>
      </c>
      <c r="AI39" s="25"/>
      <c r="AJ39" s="28">
        <f>AE39-AG39*AE39/100</f>
        <v>1.4673012657278093</v>
      </c>
      <c r="AK39" s="25"/>
      <c r="AM39" s="25"/>
      <c r="AN39" s="27" t="s">
        <v>47</v>
      </c>
      <c r="AO39" s="28">
        <f>$AO$16*H136/100</f>
        <v>1.6115900151032105</v>
      </c>
      <c r="AP39" s="27" t="s">
        <v>84</v>
      </c>
      <c r="AQ39" s="28">
        <f>H156</f>
        <v>0</v>
      </c>
      <c r="AR39" s="25" t="s">
        <v>2</v>
      </c>
      <c r="AS39" s="25"/>
      <c r="AT39" s="28">
        <f>AO39-AQ39*AO39/100</f>
        <v>1.6115900151032105</v>
      </c>
      <c r="AU39" s="25"/>
    </row>
    <row r="40" spans="2:47" x14ac:dyDescent="0.2">
      <c r="E40" s="34"/>
      <c r="R40"/>
      <c r="S40" s="25"/>
      <c r="T40" s="27" t="s">
        <v>49</v>
      </c>
      <c r="U40" s="28">
        <f t="shared" ref="U40:U44" si="23">$U$16*H137/100</f>
        <v>0</v>
      </c>
      <c r="V40" s="27" t="s">
        <v>84</v>
      </c>
      <c r="W40" s="28">
        <f>H157</f>
        <v>0</v>
      </c>
      <c r="X40" s="25" t="s">
        <v>2</v>
      </c>
      <c r="Y40" s="25"/>
      <c r="Z40" s="28">
        <f>U40-W40*U40/100</f>
        <v>0</v>
      </c>
      <c r="AA40" s="25"/>
      <c r="AC40" s="25"/>
      <c r="AD40" s="27" t="s">
        <v>49</v>
      </c>
      <c r="AE40" s="28">
        <f t="shared" ref="AE40:AE44" si="24">$AE$16*H137/100</f>
        <v>0</v>
      </c>
      <c r="AF40" s="27" t="s">
        <v>84</v>
      </c>
      <c r="AG40" s="28">
        <f>H157</f>
        <v>0</v>
      </c>
      <c r="AH40" s="25" t="s">
        <v>2</v>
      </c>
      <c r="AI40" s="25"/>
      <c r="AJ40" s="28">
        <f>AE40-AG40*AE40/100</f>
        <v>0</v>
      </c>
      <c r="AK40" s="25"/>
      <c r="AM40" s="25"/>
      <c r="AN40" s="27" t="s">
        <v>49</v>
      </c>
      <c r="AO40" s="28">
        <f t="shared" ref="AO40:AO44" si="25">$AO$16*H137/100</f>
        <v>0</v>
      </c>
      <c r="AP40" s="27" t="s">
        <v>84</v>
      </c>
      <c r="AQ40" s="28">
        <f>H157</f>
        <v>0</v>
      </c>
      <c r="AR40" s="25" t="s">
        <v>2</v>
      </c>
      <c r="AS40" s="25"/>
      <c r="AT40" s="28">
        <f>AO40-AQ40*AO40/100</f>
        <v>0</v>
      </c>
      <c r="AU40" s="25"/>
    </row>
    <row r="41" spans="2:47" x14ac:dyDescent="0.2">
      <c r="E41" s="10"/>
      <c r="R41"/>
      <c r="S41" s="25"/>
      <c r="T41" s="27" t="s">
        <v>50</v>
      </c>
      <c r="U41" s="28">
        <f t="shared" si="23"/>
        <v>1.1939106939691559E-2</v>
      </c>
      <c r="V41" s="27" t="s">
        <v>84</v>
      </c>
      <c r="W41" s="28">
        <f>H158</f>
        <v>0</v>
      </c>
      <c r="X41" s="25" t="s">
        <v>2</v>
      </c>
      <c r="Y41" s="25"/>
      <c r="Z41" s="28">
        <f>U41-W41*U41/100</f>
        <v>1.1939106939691559E-2</v>
      </c>
      <c r="AA41" s="25"/>
      <c r="AC41" s="25"/>
      <c r="AD41" s="27" t="s">
        <v>50</v>
      </c>
      <c r="AE41" s="28">
        <f t="shared" si="24"/>
        <v>1.3113152685595547E-2</v>
      </c>
      <c r="AF41" s="27" t="s">
        <v>84</v>
      </c>
      <c r="AG41" s="28">
        <f>H158</f>
        <v>0</v>
      </c>
      <c r="AH41" s="25" t="s">
        <v>2</v>
      </c>
      <c r="AI41" s="25"/>
      <c r="AJ41" s="28">
        <f>AE41-AG41*AE41/100</f>
        <v>1.3113152685595547E-2</v>
      </c>
      <c r="AK41" s="25"/>
      <c r="AM41" s="25"/>
      <c r="AN41" s="27" t="s">
        <v>50</v>
      </c>
      <c r="AO41" s="28">
        <f t="shared" si="25"/>
        <v>1.4402649563685374E-2</v>
      </c>
      <c r="AP41" s="27" t="s">
        <v>84</v>
      </c>
      <c r="AQ41" s="28">
        <f>H158</f>
        <v>0</v>
      </c>
      <c r="AR41" s="25" t="s">
        <v>2</v>
      </c>
      <c r="AS41" s="25"/>
      <c r="AT41" s="28">
        <f>AO41-AQ41*AO41/100</f>
        <v>1.4402649563685374E-2</v>
      </c>
      <c r="AU41" s="25"/>
    </row>
    <row r="42" spans="2:47" x14ac:dyDescent="0.2">
      <c r="B42" s="84" t="s">
        <v>61</v>
      </c>
      <c r="C42" s="53"/>
      <c r="E42" s="10"/>
      <c r="R42"/>
      <c r="S42" s="25"/>
      <c r="T42" s="27" t="s">
        <v>51</v>
      </c>
      <c r="U42" s="28">
        <f t="shared" si="23"/>
        <v>0.15051873476122818</v>
      </c>
      <c r="V42" s="27" t="s">
        <v>84</v>
      </c>
      <c r="W42" s="28">
        <f>H159</f>
        <v>0</v>
      </c>
      <c r="X42" s="25" t="s">
        <v>2</v>
      </c>
      <c r="Y42" s="25"/>
      <c r="Z42" s="28">
        <f>U42-W42*U42/100</f>
        <v>0.15051873476122818</v>
      </c>
      <c r="AA42" s="25"/>
      <c r="AC42" s="25"/>
      <c r="AD42" s="27" t="s">
        <v>51</v>
      </c>
      <c r="AE42" s="28">
        <f t="shared" si="24"/>
        <v>0.16532016682125761</v>
      </c>
      <c r="AF42" s="27" t="s">
        <v>84</v>
      </c>
      <c r="AG42" s="28">
        <f>H159</f>
        <v>0</v>
      </c>
      <c r="AH42" s="25" t="s">
        <v>2</v>
      </c>
      <c r="AI42" s="25"/>
      <c r="AJ42" s="28">
        <f>AE42-AG42*AE42/100</f>
        <v>0.16532016682125761</v>
      </c>
      <c r="AK42" s="25"/>
      <c r="AM42" s="25"/>
      <c r="AN42" s="27" t="s">
        <v>51</v>
      </c>
      <c r="AO42" s="28">
        <f t="shared" si="25"/>
        <v>0.1815771146439939</v>
      </c>
      <c r="AP42" s="27" t="s">
        <v>84</v>
      </c>
      <c r="AQ42" s="28">
        <f>H159</f>
        <v>0</v>
      </c>
      <c r="AR42" s="25" t="s">
        <v>2</v>
      </c>
      <c r="AS42" s="25"/>
      <c r="AT42" s="28">
        <f>AO42-AQ42*AO42/100</f>
        <v>0.1815771146439939</v>
      </c>
      <c r="AU42" s="25"/>
    </row>
    <row r="43" spans="2:47" ht="13.5" thickBot="1" x14ac:dyDescent="0.25">
      <c r="D43">
        <v>2012</v>
      </c>
      <c r="E43">
        <v>2020</v>
      </c>
      <c r="F43">
        <v>2025</v>
      </c>
      <c r="G43">
        <v>2030</v>
      </c>
      <c r="R43"/>
      <c r="S43" s="25"/>
      <c r="T43" s="27" t="s">
        <v>109</v>
      </c>
      <c r="U43" s="28">
        <f t="shared" si="23"/>
        <v>0.23914279374255001</v>
      </c>
      <c r="V43" s="27" t="s">
        <v>84</v>
      </c>
      <c r="W43" s="28">
        <f>H160</f>
        <v>0</v>
      </c>
      <c r="X43" s="25" t="s">
        <v>2</v>
      </c>
      <c r="Y43" s="25"/>
      <c r="Z43" s="28">
        <f t="shared" ref="Z43:Z44" si="26">U43-W43*U43/100</f>
        <v>0.23914279374255001</v>
      </c>
      <c r="AA43" s="25"/>
      <c r="AC43" s="25"/>
      <c r="AD43" s="27" t="s">
        <v>109</v>
      </c>
      <c r="AE43" s="28">
        <f t="shared" si="24"/>
        <v>0.2626591740778022</v>
      </c>
      <c r="AF43" s="27" t="s">
        <v>84</v>
      </c>
      <c r="AG43" s="28">
        <f>H160</f>
        <v>0</v>
      </c>
      <c r="AH43" s="25" t="s">
        <v>2</v>
      </c>
      <c r="AI43" s="25"/>
      <c r="AJ43" s="28">
        <f t="shared" ref="AJ43:AJ44" si="27">AE43-AG43*AE43/100</f>
        <v>0.2626591740778022</v>
      </c>
      <c r="AK43" s="25"/>
      <c r="AM43" s="25"/>
      <c r="AN43" s="27" t="s">
        <v>109</v>
      </c>
      <c r="AO43" s="28">
        <f t="shared" si="25"/>
        <v>0.28848806458916104</v>
      </c>
      <c r="AP43" s="27" t="s">
        <v>84</v>
      </c>
      <c r="AQ43" s="28">
        <f>H160</f>
        <v>0</v>
      </c>
      <c r="AR43" s="25" t="s">
        <v>2</v>
      </c>
      <c r="AS43" s="25"/>
      <c r="AT43" s="28">
        <f t="shared" ref="AT43:AT44" si="28">AO43-AQ43*AO43/100</f>
        <v>0.28848806458916104</v>
      </c>
      <c r="AU43" s="25"/>
    </row>
    <row r="44" spans="2:47" ht="13.5" thickTop="1" x14ac:dyDescent="0.2">
      <c r="C44" t="s">
        <v>62</v>
      </c>
      <c r="D44" s="2">
        <f>'option 2 single calculation met'!D44</f>
        <v>7.1411729039646969</v>
      </c>
      <c r="E44" s="103">
        <v>10.597149927395259</v>
      </c>
      <c r="F44" s="104">
        <v>12.322825843952597</v>
      </c>
      <c r="G44" s="105">
        <v>14.755663860724708</v>
      </c>
      <c r="R44"/>
      <c r="S44" s="25"/>
      <c r="T44" s="27" t="s">
        <v>83</v>
      </c>
      <c r="U44" s="28">
        <f t="shared" si="23"/>
        <v>1.4131052125495168E-2</v>
      </c>
      <c r="V44" s="27" t="s">
        <v>84</v>
      </c>
      <c r="W44" s="28">
        <f t="shared" ref="W44" si="29">G161</f>
        <v>0</v>
      </c>
      <c r="X44" s="25" t="s">
        <v>2</v>
      </c>
      <c r="Y44" s="25"/>
      <c r="Z44" s="28">
        <f t="shared" si="26"/>
        <v>1.4131052125495168E-2</v>
      </c>
      <c r="AA44" s="25"/>
      <c r="AC44" s="25"/>
      <c r="AD44" s="27" t="s">
        <v>83</v>
      </c>
      <c r="AE44" s="28">
        <f t="shared" si="24"/>
        <v>1.5520645310051541E-2</v>
      </c>
      <c r="AF44" s="27" t="s">
        <v>84</v>
      </c>
      <c r="AG44" s="28">
        <f t="shared" ref="AG44" si="30">G161</f>
        <v>0</v>
      </c>
      <c r="AH44" s="25" t="s">
        <v>2</v>
      </c>
      <c r="AI44" s="25"/>
      <c r="AJ44" s="28">
        <f t="shared" si="27"/>
        <v>1.5520645310051541E-2</v>
      </c>
      <c r="AK44" s="25"/>
      <c r="AM44" s="25"/>
      <c r="AN44" s="27" t="s">
        <v>83</v>
      </c>
      <c r="AO44" s="28">
        <f t="shared" si="25"/>
        <v>1.7046885730879986E-2</v>
      </c>
      <c r="AP44" s="27" t="s">
        <v>84</v>
      </c>
      <c r="AQ44" s="28">
        <f t="shared" ref="AQ44" si="31">G161</f>
        <v>0</v>
      </c>
      <c r="AR44" s="25" t="s">
        <v>2</v>
      </c>
      <c r="AS44" s="25"/>
      <c r="AT44" s="28">
        <f t="shared" si="28"/>
        <v>1.7046885730879986E-2</v>
      </c>
      <c r="AU44" s="25"/>
    </row>
    <row r="45" spans="2:47" x14ac:dyDescent="0.2">
      <c r="C45" t="s">
        <v>63</v>
      </c>
      <c r="D45" s="2">
        <f>'option 2 single calculation met'!D45</f>
        <v>52.817731667059654</v>
      </c>
      <c r="E45" s="107">
        <v>78.378920217715887</v>
      </c>
      <c r="F45" s="108">
        <v>91.142410015649418</v>
      </c>
      <c r="G45" s="109">
        <v>91.142410015649418</v>
      </c>
      <c r="R45"/>
      <c r="S45" s="25"/>
      <c r="T45" s="25"/>
      <c r="U45" s="26"/>
      <c r="V45" s="25"/>
      <c r="W45" s="25"/>
      <c r="X45" s="25"/>
      <c r="Y45" s="26"/>
      <c r="Z45" s="26"/>
      <c r="AA45" s="25"/>
      <c r="AC45" s="25"/>
      <c r="AD45" s="25"/>
      <c r="AE45" s="26"/>
      <c r="AF45" s="25"/>
      <c r="AG45" s="25"/>
      <c r="AH45" s="25"/>
      <c r="AI45" s="26"/>
      <c r="AJ45" s="26"/>
      <c r="AK45" s="25"/>
      <c r="AM45" s="25"/>
      <c r="AN45" s="25"/>
      <c r="AO45" s="26"/>
      <c r="AP45" s="25"/>
      <c r="AQ45" s="25"/>
      <c r="AR45" s="25"/>
      <c r="AS45" s="26"/>
      <c r="AT45" s="26"/>
      <c r="AU45" s="25"/>
    </row>
    <row r="46" spans="2:47" x14ac:dyDescent="0.2">
      <c r="C46" t="s">
        <v>64</v>
      </c>
      <c r="D46" s="2">
        <f>'option 2 single calculation met'!D46</f>
        <v>24.522518273991984</v>
      </c>
      <c r="E46" s="107">
        <v>36.390212958225241</v>
      </c>
      <c r="F46" s="108">
        <v>42.316118935837231</v>
      </c>
      <c r="G46" s="109">
        <v>50.670392880224483</v>
      </c>
      <c r="R46"/>
      <c r="S46" s="25"/>
      <c r="T46" s="27" t="s">
        <v>91</v>
      </c>
      <c r="U46" s="28">
        <f>U12-U16</f>
        <v>22.009433535783703</v>
      </c>
      <c r="V46" s="27" t="s">
        <v>84</v>
      </c>
      <c r="W46" s="28">
        <v>0</v>
      </c>
      <c r="X46" s="25" t="s">
        <v>2</v>
      </c>
      <c r="Y46" s="26"/>
      <c r="Z46" s="28">
        <f t="shared" ref="Z46" si="32">U46-W46*U46/100</f>
        <v>22.009433535783703</v>
      </c>
      <c r="AA46" s="25"/>
      <c r="AC46" s="25"/>
      <c r="AD46" s="27" t="s">
        <v>91</v>
      </c>
      <c r="AE46" s="28">
        <f>AE12-AE16</f>
        <v>24.173756373578051</v>
      </c>
      <c r="AF46" s="27" t="s">
        <v>84</v>
      </c>
      <c r="AG46" s="28">
        <v>0</v>
      </c>
      <c r="AH46" s="25" t="s">
        <v>2</v>
      </c>
      <c r="AI46" s="26"/>
      <c r="AJ46" s="28">
        <f t="shared" ref="AJ46" si="33">AE46-AG46*AE46/100</f>
        <v>24.173756373578051</v>
      </c>
      <c r="AK46" s="25"/>
      <c r="AM46" s="25"/>
      <c r="AN46" s="27" t="s">
        <v>91</v>
      </c>
      <c r="AO46" s="28">
        <f>AO12-AO16</f>
        <v>26.550910374817935</v>
      </c>
      <c r="AP46" s="27" t="s">
        <v>84</v>
      </c>
      <c r="AQ46" s="28">
        <v>0</v>
      </c>
      <c r="AR46" s="25" t="s">
        <v>2</v>
      </c>
      <c r="AS46" s="26"/>
      <c r="AT46" s="28">
        <f t="shared" ref="AT46" si="34">AO46-AQ46*AO46/100</f>
        <v>26.550910374817935</v>
      </c>
      <c r="AU46" s="25"/>
    </row>
    <row r="47" spans="2:47" ht="13.5" thickBot="1" x14ac:dyDescent="0.25">
      <c r="C47" t="s">
        <v>65</v>
      </c>
      <c r="D47" s="2">
        <f>'option 2 single calculation met'!D47</f>
        <v>40.509313841075219</v>
      </c>
      <c r="E47" s="111">
        <v>60.113832559837448</v>
      </c>
      <c r="F47" s="112">
        <v>69.902973395931113</v>
      </c>
      <c r="G47" s="113">
        <v>83.703591315601599</v>
      </c>
      <c r="R47"/>
      <c r="S47" s="25"/>
      <c r="T47" s="25"/>
      <c r="U47" s="26"/>
      <c r="V47" s="25"/>
      <c r="W47" s="25"/>
      <c r="X47" s="25"/>
      <c r="Y47" s="25"/>
      <c r="Z47" s="25"/>
      <c r="AA47" s="25"/>
      <c r="AC47" s="25"/>
      <c r="AD47" s="25"/>
      <c r="AE47" s="26"/>
      <c r="AF47" s="25"/>
      <c r="AG47" s="25"/>
      <c r="AH47" s="25"/>
      <c r="AI47" s="25"/>
      <c r="AJ47" s="25"/>
      <c r="AK47" s="25"/>
      <c r="AM47" s="25"/>
      <c r="AN47" s="25"/>
      <c r="AO47" s="26"/>
      <c r="AP47" s="25"/>
      <c r="AQ47" s="25"/>
      <c r="AR47" s="25"/>
      <c r="AS47" s="25"/>
      <c r="AT47" s="25"/>
      <c r="AU47" s="25"/>
    </row>
    <row r="48" spans="2:47" ht="14.25" thickTop="1" thickBot="1" x14ac:dyDescent="0.25">
      <c r="D48" s="2"/>
      <c r="E48" s="108"/>
      <c r="F48" s="108"/>
      <c r="G48" s="108"/>
      <c r="R48"/>
      <c r="S48" s="25"/>
      <c r="T48" s="25"/>
      <c r="U48" s="26"/>
      <c r="V48" s="25"/>
      <c r="W48" s="25"/>
      <c r="X48" s="25"/>
      <c r="Y48" s="25"/>
      <c r="Z48" s="25"/>
      <c r="AA48" s="25"/>
      <c r="AC48" s="25"/>
      <c r="AD48" s="25"/>
      <c r="AE48" s="26"/>
      <c r="AF48" s="25"/>
      <c r="AG48" s="25"/>
      <c r="AH48" s="25"/>
      <c r="AI48" s="25"/>
      <c r="AJ48" s="25"/>
      <c r="AK48" s="25"/>
      <c r="AM48" s="25"/>
      <c r="AN48" s="25"/>
      <c r="AO48" s="26"/>
      <c r="AP48" s="25"/>
      <c r="AQ48" s="25"/>
      <c r="AR48" s="25"/>
      <c r="AS48" s="25"/>
      <c r="AT48" s="25"/>
      <c r="AU48" s="25"/>
    </row>
    <row r="49" spans="2:47" ht="13.5" thickBot="1" x14ac:dyDescent="0.25">
      <c r="D49">
        <v>2012</v>
      </c>
      <c r="E49" s="309">
        <v>2020</v>
      </c>
      <c r="F49" s="310"/>
      <c r="G49" s="310"/>
      <c r="H49" s="311"/>
      <c r="I49" s="312">
        <v>2025</v>
      </c>
      <c r="J49" s="313"/>
      <c r="K49" s="313"/>
      <c r="L49" s="314"/>
      <c r="M49" s="312">
        <v>2030</v>
      </c>
      <c r="N49" s="313"/>
      <c r="O49" s="313"/>
      <c r="P49" s="314"/>
      <c r="R49"/>
      <c r="S49" s="25"/>
      <c r="T49" s="25"/>
      <c r="U49" s="26"/>
      <c r="V49" s="25"/>
      <c r="W49" s="25"/>
      <c r="X49" s="30"/>
      <c r="Y49" s="31" t="s">
        <v>21</v>
      </c>
      <c r="Z49" s="122">
        <f>SUM(Z18:Z46)</f>
        <v>95.368212890349952</v>
      </c>
      <c r="AA49" s="25"/>
      <c r="AC49" s="25"/>
      <c r="AD49" s="25"/>
      <c r="AE49" s="26"/>
      <c r="AF49" s="25"/>
      <c r="AG49" s="25"/>
      <c r="AH49" s="30"/>
      <c r="AI49" s="31" t="s">
        <v>193</v>
      </c>
      <c r="AJ49" s="122">
        <f>SUM(AJ18:AJ46)</f>
        <v>94.686175578185242</v>
      </c>
      <c r="AK49" s="25"/>
      <c r="AM49" s="25"/>
      <c r="AN49" s="25"/>
      <c r="AO49" s="26"/>
      <c r="AP49" s="25"/>
      <c r="AQ49" s="25"/>
      <c r="AR49" s="30"/>
      <c r="AS49" s="31" t="s">
        <v>148</v>
      </c>
      <c r="AT49" s="122">
        <f>SUM(AT18:AT46)</f>
        <v>92.596086549277899</v>
      </c>
      <c r="AU49" s="25"/>
    </row>
    <row r="50" spans="2:47" ht="13.5" thickBot="1" x14ac:dyDescent="0.25">
      <c r="B50" t="s">
        <v>23</v>
      </c>
      <c r="D50" t="s">
        <v>196</v>
      </c>
      <c r="E50" s="178" t="s">
        <v>196</v>
      </c>
      <c r="F50" s="79" t="s">
        <v>24</v>
      </c>
      <c r="G50" s="79" t="s">
        <v>66</v>
      </c>
      <c r="H50" s="179"/>
      <c r="I50" s="183" t="s">
        <v>196</v>
      </c>
      <c r="J50" s="79" t="s">
        <v>24</v>
      </c>
      <c r="K50" s="79" t="s">
        <v>66</v>
      </c>
      <c r="L50" s="184"/>
      <c r="M50" s="187" t="s">
        <v>196</v>
      </c>
      <c r="N50" s="129" t="s">
        <v>24</v>
      </c>
      <c r="O50" s="129" t="s">
        <v>197</v>
      </c>
      <c r="P50" s="188"/>
      <c r="Q50" s="129"/>
      <c r="R50"/>
      <c r="S50" s="25"/>
      <c r="T50" s="25"/>
      <c r="U50" s="26"/>
      <c r="V50" s="25"/>
      <c r="W50" s="25"/>
      <c r="X50" s="25"/>
      <c r="Y50" s="25"/>
      <c r="Z50" s="25"/>
      <c r="AA50" s="25"/>
      <c r="AC50" s="25"/>
      <c r="AD50" s="25"/>
      <c r="AE50" s="26"/>
      <c r="AF50" s="25"/>
      <c r="AG50" s="25"/>
      <c r="AH50" s="25"/>
      <c r="AI50" s="25"/>
      <c r="AJ50" s="25"/>
      <c r="AK50" s="25"/>
      <c r="AM50" s="25"/>
      <c r="AN50" s="25"/>
      <c r="AO50" s="26"/>
      <c r="AP50" s="25"/>
      <c r="AQ50" s="25"/>
      <c r="AR50" s="25"/>
      <c r="AS50" s="25"/>
      <c r="AT50" s="25"/>
      <c r="AU50" s="25"/>
    </row>
    <row r="51" spans="2:47" ht="13.5" thickBot="1" x14ac:dyDescent="0.25">
      <c r="C51" t="str">
        <f>C44</f>
        <v>plastic</v>
      </c>
      <c r="D51" s="2">
        <f t="shared" ref="D51:E54" si="35">100-D44</f>
        <v>92.858827096035299</v>
      </c>
      <c r="E51" s="178">
        <f t="shared" si="35"/>
        <v>89.402850072604735</v>
      </c>
      <c r="F51" s="134">
        <f>D51-E51</f>
        <v>3.4559770234305631</v>
      </c>
      <c r="G51" s="17">
        <f>F51/D51*100</f>
        <v>3.72175390483488</v>
      </c>
      <c r="H51" s="179" t="s">
        <v>2</v>
      </c>
      <c r="I51" s="178">
        <f>100-F44</f>
        <v>87.6771741560474</v>
      </c>
      <c r="J51" s="134">
        <f>D51-I51</f>
        <v>5.1816529399878988</v>
      </c>
      <c r="K51" s="17">
        <f>J51/D51*100</f>
        <v>5.5801404153306766</v>
      </c>
      <c r="L51" s="184" t="s">
        <v>2</v>
      </c>
      <c r="M51" s="189">
        <f>100-G44</f>
        <v>85.244336139275291</v>
      </c>
      <c r="N51" s="164">
        <f>D51-M51</f>
        <v>7.6144909567600081</v>
      </c>
      <c r="O51" s="17">
        <f>N51/D51*100</f>
        <v>8.2000722977957121</v>
      </c>
      <c r="P51" s="184" t="s">
        <v>2</v>
      </c>
      <c r="R51"/>
      <c r="S51" s="25"/>
      <c r="T51" s="25"/>
      <c r="U51" s="26"/>
      <c r="V51" s="25"/>
      <c r="W51" s="25"/>
      <c r="X51" s="25"/>
      <c r="Y51" s="25"/>
      <c r="Z51" s="25"/>
      <c r="AA51" s="25"/>
      <c r="AC51" s="25"/>
      <c r="AD51" s="25"/>
      <c r="AE51" s="26"/>
      <c r="AF51" s="25"/>
      <c r="AG51" s="25"/>
      <c r="AH51" s="25"/>
      <c r="AI51" s="25"/>
      <c r="AJ51" s="25"/>
      <c r="AK51" s="25"/>
      <c r="AM51" s="25"/>
      <c r="AN51" s="25"/>
      <c r="AO51" s="26"/>
      <c r="AP51" s="25"/>
      <c r="AQ51" s="25"/>
      <c r="AR51" s="25"/>
      <c r="AS51" s="25"/>
      <c r="AT51" s="25"/>
      <c r="AU51" s="25"/>
    </row>
    <row r="52" spans="2:47" ht="13.5" thickBot="1" x14ac:dyDescent="0.25">
      <c r="C52" t="str">
        <f>C45</f>
        <v>glass</v>
      </c>
      <c r="D52" s="2">
        <f t="shared" si="35"/>
        <v>47.182268332940346</v>
      </c>
      <c r="E52" s="178">
        <f t="shared" si="35"/>
        <v>21.621079782284113</v>
      </c>
      <c r="F52" s="134">
        <f>D52-E52</f>
        <v>25.561188550656233</v>
      </c>
      <c r="G52" s="18">
        <f>F52/D52*100</f>
        <v>54.175412615358866</v>
      </c>
      <c r="H52" s="179" t="s">
        <v>2</v>
      </c>
      <c r="I52" s="178">
        <f>100-F45</f>
        <v>8.8575899843505823</v>
      </c>
      <c r="J52" s="134">
        <f>D52-I52</f>
        <v>38.324678348589764</v>
      </c>
      <c r="K52" s="18">
        <f>J52/D52*100</f>
        <v>81.226867004682248</v>
      </c>
      <c r="L52" s="184" t="s">
        <v>2</v>
      </c>
      <c r="M52" s="189">
        <f>100-G45</f>
        <v>8.8575899843505823</v>
      </c>
      <c r="N52" s="164">
        <f>D52-M52</f>
        <v>38.324678348589764</v>
      </c>
      <c r="O52" s="18">
        <f>N52/D52*100</f>
        <v>81.226867004682248</v>
      </c>
      <c r="P52" s="184" t="s">
        <v>2</v>
      </c>
      <c r="R52"/>
      <c r="S52" s="25"/>
      <c r="T52" s="25"/>
      <c r="U52" s="26"/>
      <c r="V52" s="25"/>
      <c r="W52" s="25"/>
      <c r="X52" s="30" t="s">
        <v>99</v>
      </c>
      <c r="Y52" s="32"/>
      <c r="Z52" s="35">
        <f>100-Z49</f>
        <v>4.6317871096500483</v>
      </c>
      <c r="AA52" s="33" t="s">
        <v>2</v>
      </c>
      <c r="AC52" s="25"/>
      <c r="AD52" s="25"/>
      <c r="AE52" s="26"/>
      <c r="AF52" s="25"/>
      <c r="AG52" s="25"/>
      <c r="AH52" s="30" t="s">
        <v>99</v>
      </c>
      <c r="AI52" s="32"/>
      <c r="AJ52" s="35">
        <f>100-AJ49</f>
        <v>5.3138244218147577</v>
      </c>
      <c r="AK52" s="33" t="s">
        <v>2</v>
      </c>
      <c r="AM52" s="25"/>
      <c r="AN52" s="25"/>
      <c r="AO52" s="26"/>
      <c r="AP52" s="25"/>
      <c r="AQ52" s="25"/>
      <c r="AR52" s="30" t="s">
        <v>99</v>
      </c>
      <c r="AS52" s="32"/>
      <c r="AT52" s="35">
        <f>100-AT49</f>
        <v>7.4039134507221007</v>
      </c>
      <c r="AU52" s="33" t="s">
        <v>2</v>
      </c>
    </row>
    <row r="53" spans="2:47" x14ac:dyDescent="0.2">
      <c r="C53" t="str">
        <f>C46</f>
        <v>metals</v>
      </c>
      <c r="D53" s="2">
        <f t="shared" si="35"/>
        <v>75.477481726008023</v>
      </c>
      <c r="E53" s="178">
        <f t="shared" si="35"/>
        <v>63.609787041774759</v>
      </c>
      <c r="F53" s="134">
        <f>D53-E53</f>
        <v>11.867694684233264</v>
      </c>
      <c r="G53" s="18">
        <f>F53/D53*100</f>
        <v>15.72349052041027</v>
      </c>
      <c r="H53" s="179" t="s">
        <v>2</v>
      </c>
      <c r="I53" s="178">
        <f>100-F46</f>
        <v>57.683881064162769</v>
      </c>
      <c r="J53" s="134">
        <f>D53-I53</f>
        <v>17.793600661845254</v>
      </c>
      <c r="K53" s="18">
        <f>J53/D53*100</f>
        <v>23.574714278939616</v>
      </c>
      <c r="L53" s="184" t="s">
        <v>2</v>
      </c>
      <c r="M53" s="189">
        <f>100-G46</f>
        <v>49.329607119775517</v>
      </c>
      <c r="N53" s="164">
        <f>D53-M53</f>
        <v>26.147874606232506</v>
      </c>
      <c r="O53" s="18">
        <f>N53/D53*100</f>
        <v>34.643279039372707</v>
      </c>
      <c r="P53" s="184" t="s">
        <v>2</v>
      </c>
      <c r="R53"/>
      <c r="S53" s="25"/>
      <c r="T53" s="25"/>
      <c r="U53" s="26"/>
      <c r="V53" s="25"/>
      <c r="W53" s="25"/>
      <c r="X53" s="25"/>
      <c r="Y53" s="25"/>
      <c r="Z53" s="25"/>
      <c r="AA53" s="25"/>
      <c r="AC53" s="25"/>
      <c r="AD53" s="25"/>
      <c r="AE53" s="26"/>
      <c r="AF53" s="25"/>
      <c r="AG53" s="25"/>
      <c r="AH53" s="25"/>
      <c r="AI53" s="25"/>
      <c r="AJ53" s="25"/>
      <c r="AK53" s="25"/>
      <c r="AM53" s="25"/>
      <c r="AN53" s="25"/>
      <c r="AO53" s="26"/>
      <c r="AP53" s="25"/>
      <c r="AQ53" s="25"/>
      <c r="AR53" s="25"/>
      <c r="AS53" s="25"/>
      <c r="AT53" s="25"/>
      <c r="AU53" s="25"/>
    </row>
    <row r="54" spans="2:47" ht="13.5" thickBot="1" x14ac:dyDescent="0.25">
      <c r="C54" t="str">
        <f>C47</f>
        <v>paper</v>
      </c>
      <c r="D54" s="2">
        <f t="shared" si="35"/>
        <v>59.490686158924781</v>
      </c>
      <c r="E54" s="178">
        <f t="shared" si="35"/>
        <v>39.886167440162552</v>
      </c>
      <c r="F54" s="134">
        <f>D54-E54</f>
        <v>19.604518718762229</v>
      </c>
      <c r="G54" s="19">
        <f>F54/D54*100</f>
        <v>32.953929403991523</v>
      </c>
      <c r="H54" s="179" t="s">
        <v>2</v>
      </c>
      <c r="I54" s="178">
        <f>100-F47</f>
        <v>30.097026604068887</v>
      </c>
      <c r="J54" s="134">
        <f>D54-I54</f>
        <v>29.393659554855894</v>
      </c>
      <c r="K54" s="19">
        <f>J54/D54*100</f>
        <v>49.408842715871522</v>
      </c>
      <c r="L54" s="184" t="s">
        <v>2</v>
      </c>
      <c r="M54" s="189">
        <f>100-G47</f>
        <v>16.296408684398401</v>
      </c>
      <c r="N54" s="164">
        <f>D54-M54</f>
        <v>43.19427747452638</v>
      </c>
      <c r="O54" s="19">
        <f>N54/D54*100</f>
        <v>72.606789841247078</v>
      </c>
      <c r="P54" s="184" t="s">
        <v>2</v>
      </c>
      <c r="R54"/>
      <c r="U54" s="1"/>
    </row>
    <row r="55" spans="2:47" x14ac:dyDescent="0.2">
      <c r="E55" s="180"/>
      <c r="F55" s="181"/>
      <c r="G55" s="181"/>
      <c r="H55" s="182"/>
      <c r="I55" s="185"/>
      <c r="J55" s="181"/>
      <c r="K55" s="181"/>
      <c r="L55" s="186"/>
      <c r="M55" s="185"/>
      <c r="N55" s="181"/>
      <c r="O55" s="181"/>
      <c r="P55" s="186"/>
      <c r="R55"/>
      <c r="U55" s="1"/>
    </row>
    <row r="56" spans="2:47" x14ac:dyDescent="0.2">
      <c r="E56" s="134"/>
      <c r="F56" s="79"/>
      <c r="G56" s="79"/>
      <c r="H56" s="80"/>
      <c r="I56" s="79"/>
      <c r="J56" s="79"/>
      <c r="K56" s="79"/>
      <c r="L56" s="79"/>
      <c r="M56" s="79"/>
      <c r="N56" s="79"/>
      <c r="O56" s="79"/>
      <c r="P56" s="79"/>
      <c r="R56"/>
      <c r="U56" s="1"/>
    </row>
    <row r="57" spans="2:47" x14ac:dyDescent="0.2">
      <c r="B57" s="84" t="s">
        <v>30</v>
      </c>
      <c r="C57" s="53"/>
    </row>
    <row r="58" spans="2:47" x14ac:dyDescent="0.2">
      <c r="B58" t="str">
        <f>'option 2 single calculation met'!B58</f>
        <v>as in option 1</v>
      </c>
      <c r="D58" t="s">
        <v>32</v>
      </c>
      <c r="E58" t="s">
        <v>33</v>
      </c>
      <c r="G58" t="str">
        <f>D58</f>
        <v>packaging</v>
      </c>
    </row>
    <row r="59" spans="2:47" x14ac:dyDescent="0.2">
      <c r="B59" t="s">
        <v>31</v>
      </c>
      <c r="C59" t="s">
        <v>7</v>
      </c>
      <c r="D59">
        <f>'option 2 single calculation met'!D59</f>
        <v>2470</v>
      </c>
      <c r="E59">
        <f>'option 2 single calculation met'!E59</f>
        <v>32566</v>
      </c>
      <c r="G59" s="10">
        <f t="shared" ref="G59:G70" si="36">D59/(D59+E59)*100</f>
        <v>7.0498915401301518</v>
      </c>
      <c r="H59" s="1" t="s">
        <v>2</v>
      </c>
      <c r="I59" s="10">
        <f>G59+G61*(G59/(G59+G60))</f>
        <v>7.2873114912236856</v>
      </c>
      <c r="J59" t="s">
        <v>2</v>
      </c>
      <c r="L59" t="str">
        <f>CONCATENATE(ROUND(I59,1),"% of ",B59," ",C59," litter consists of packaging")</f>
        <v>7,3% of NOR industrial litter consists of packaging</v>
      </c>
    </row>
    <row r="60" spans="2:47" x14ac:dyDescent="0.2">
      <c r="B60" t="s">
        <v>31</v>
      </c>
      <c r="C60" t="s">
        <v>34</v>
      </c>
      <c r="D60">
        <f>'option 2 single calculation met'!D60</f>
        <v>18577</v>
      </c>
      <c r="E60">
        <f>'option 2 single calculation met'!E60</f>
        <v>10205</v>
      </c>
      <c r="G60" s="10">
        <f t="shared" si="36"/>
        <v>64.543812104787719</v>
      </c>
      <c r="H60" s="1" t="s">
        <v>2</v>
      </c>
      <c r="I60" s="10">
        <f>G60+G61*(G60/(G59+G60))</f>
        <v>66.717460965352458</v>
      </c>
      <c r="J60" t="s">
        <v>2</v>
      </c>
      <c r="L60" t="str">
        <f>CONCATENATE(ROUND(I60,1),"% of ",B60," ",C60," litter consists of packaging")</f>
        <v>66,7% of NOR consumer litter consists of packaging</v>
      </c>
    </row>
    <row r="61" spans="2:47" x14ac:dyDescent="0.2">
      <c r="B61" t="s">
        <v>31</v>
      </c>
      <c r="C61" t="s">
        <v>8</v>
      </c>
      <c r="D61">
        <f>'option 2 single calculation met'!D61</f>
        <v>589</v>
      </c>
      <c r="E61">
        <f>'option 2 single calculation met'!E61</f>
        <v>23840</v>
      </c>
      <c r="G61" s="10">
        <f t="shared" si="36"/>
        <v>2.411068811658275</v>
      </c>
      <c r="H61" s="1" t="s">
        <v>2</v>
      </c>
      <c r="I61" s="10"/>
    </row>
    <row r="62" spans="2:47" x14ac:dyDescent="0.2">
      <c r="B62" t="s">
        <v>35</v>
      </c>
      <c r="C62" t="s">
        <v>7</v>
      </c>
      <c r="D62">
        <f>'option 2 single calculation met'!D62</f>
        <v>1181</v>
      </c>
      <c r="E62">
        <f>'option 2 single calculation met'!E62</f>
        <v>2444</v>
      </c>
      <c r="G62" s="10">
        <f t="shared" si="36"/>
        <v>32.57931034482759</v>
      </c>
      <c r="H62" s="1" t="s">
        <v>2</v>
      </c>
      <c r="I62" s="10">
        <f>G62+G64*(G62/(G62+G63))</f>
        <v>33.490694179104082</v>
      </c>
      <c r="J62" t="s">
        <v>2</v>
      </c>
      <c r="L62" t="str">
        <f>CONCATENATE(ROUND(I62,1),"% of ",B62," ",C62," litter consists of packaging")</f>
        <v>33,5% of BAL industrial litter consists of packaging</v>
      </c>
      <c r="R62" s="1" t="str">
        <f>'option 2 single calculation met'!R63</f>
        <v>EU averages are weighed, based on:</v>
      </c>
      <c r="S62" s="1"/>
      <c r="T62" s="1"/>
      <c r="U62" s="1"/>
    </row>
    <row r="63" spans="2:47" x14ac:dyDescent="0.2">
      <c r="B63" t="s">
        <v>35</v>
      </c>
      <c r="C63" t="s">
        <v>34</v>
      </c>
      <c r="D63">
        <f>'option 2 single calculation met'!D63</f>
        <v>6272</v>
      </c>
      <c r="E63">
        <f>'option 2 single calculation met'!E63</f>
        <v>3949</v>
      </c>
      <c r="G63" s="10">
        <f t="shared" si="36"/>
        <v>61.363858722238533</v>
      </c>
      <c r="H63" s="1" t="s">
        <v>2</v>
      </c>
      <c r="I63" s="10">
        <f>G63+G64*(G63/(G62+G63))</f>
        <v>63.080470530663561</v>
      </c>
      <c r="J63" t="s">
        <v>2</v>
      </c>
      <c r="L63" t="str">
        <f>CONCATENATE(ROUND(I63,1),"% of ",B63," ",C63," litter consists of packaging")</f>
        <v>63,1% of BAL consumer litter consists of packaging</v>
      </c>
      <c r="S63" s="1"/>
      <c r="T63" s="1"/>
      <c r="U63" s="1"/>
    </row>
    <row r="64" spans="2:47" x14ac:dyDescent="0.2">
      <c r="B64" t="s">
        <v>35</v>
      </c>
      <c r="C64" t="s">
        <v>8</v>
      </c>
      <c r="D64">
        <f>'option 2 single calculation met'!D64</f>
        <v>193</v>
      </c>
      <c r="E64">
        <f>'option 2 single calculation met'!E64</f>
        <v>7151</v>
      </c>
      <c r="G64" s="10">
        <f t="shared" si="36"/>
        <v>2.6279956427015252</v>
      </c>
      <c r="H64" s="1" t="s">
        <v>2</v>
      </c>
      <c r="S64" s="1" t="str">
        <f>'option 2 single calculation met'!S65</f>
        <v>km</v>
      </c>
      <c r="T64" s="1" t="str">
        <f>'option 2 single calculation met'!T65</f>
        <v>Share of coastline</v>
      </c>
      <c r="U64" s="1" t="str">
        <f>'option 2 single calculation met'!U65</f>
        <v># of surveys</v>
      </c>
    </row>
    <row r="65" spans="2:21" x14ac:dyDescent="0.2">
      <c r="B65" t="s">
        <v>36</v>
      </c>
      <c r="C65" t="s">
        <v>7</v>
      </c>
      <c r="D65">
        <f>'option 2 single calculation met'!D65</f>
        <v>15</v>
      </c>
      <c r="E65">
        <f>'option 2 single calculation met'!E65</f>
        <v>320</v>
      </c>
      <c r="G65" s="10">
        <f t="shared" si="36"/>
        <v>4.4776119402985071</v>
      </c>
      <c r="H65" s="1" t="s">
        <v>2</v>
      </c>
      <c r="I65" s="10">
        <f>G65+G67*(G65/(G65+G66))</f>
        <v>4.7310359768566617</v>
      </c>
      <c r="J65" t="s">
        <v>2</v>
      </c>
      <c r="L65" t="str">
        <f>CONCATENATE(ROUND(I65,1),"% of ",B65," ",C65," litter consists of packaging")</f>
        <v>4,7% of BLA industrial litter consists of packaging</v>
      </c>
      <c r="R65" s="86" t="str">
        <f>'option 2 single calculation met'!R66</f>
        <v>Baltic Sea</v>
      </c>
      <c r="S65" s="1">
        <f>'option 2 single calculation met'!S66</f>
        <v>13080</v>
      </c>
      <c r="T65" s="3">
        <f>'option 2 single calculation met'!T66</f>
        <v>0.26286173633440513</v>
      </c>
      <c r="U65" s="1">
        <f>'option 2 single calculation met'!U66</f>
        <v>152</v>
      </c>
    </row>
    <row r="66" spans="2:21" x14ac:dyDescent="0.2">
      <c r="B66" t="s">
        <v>36</v>
      </c>
      <c r="C66" t="s">
        <v>34</v>
      </c>
      <c r="D66">
        <f>'option 2 single calculation met'!D66</f>
        <v>2636</v>
      </c>
      <c r="E66">
        <f>'option 2 single calculation met'!E66</f>
        <v>2609</v>
      </c>
      <c r="G66" s="10">
        <f t="shared" si="36"/>
        <v>50.257387988560531</v>
      </c>
      <c r="H66" s="1" t="s">
        <v>2</v>
      </c>
      <c r="I66" s="10">
        <f>G66+G67*(G66/(G65+G66))</f>
        <v>53.101857384468303</v>
      </c>
      <c r="J66" t="s">
        <v>2</v>
      </c>
      <c r="L66" t="str">
        <f>CONCATENATE(ROUND(I66,1),"% of ",B66," ",C66," litter consists of packaging")</f>
        <v>53,1% of BLA consumer litter consists of packaging</v>
      </c>
      <c r="R66" s="86" t="str">
        <f>'option 2 single calculation met'!R67</f>
        <v>Mediterranean Sea</v>
      </c>
      <c r="S66" s="1">
        <f>'option 2 single calculation met'!S67</f>
        <v>16164</v>
      </c>
      <c r="T66" s="3">
        <f>'option 2 single calculation met'!T67</f>
        <v>0.32483922829581996</v>
      </c>
      <c r="U66" s="1">
        <f>'option 2 single calculation met'!U67</f>
        <v>33</v>
      </c>
    </row>
    <row r="67" spans="2:21" x14ac:dyDescent="0.2">
      <c r="B67" t="s">
        <v>36</v>
      </c>
      <c r="C67" t="s">
        <v>8</v>
      </c>
      <c r="D67">
        <f>'option 2 single calculation met'!D67</f>
        <v>25</v>
      </c>
      <c r="E67">
        <f>'option 2 single calculation met'!E67</f>
        <v>782</v>
      </c>
      <c r="G67" s="10">
        <f t="shared" si="36"/>
        <v>3.0978934324659235</v>
      </c>
      <c r="H67" s="1" t="s">
        <v>2</v>
      </c>
      <c r="I67" s="10"/>
      <c r="R67" s="86" t="str">
        <f>'option 2 single calculation met'!R68</f>
        <v>North Sea</v>
      </c>
      <c r="S67" s="1">
        <f>'option 2 single calculation met'!S68</f>
        <v>19885</v>
      </c>
      <c r="T67" s="3">
        <f>'option 2 single calculation met'!T68</f>
        <v>0.39961816720257237</v>
      </c>
      <c r="U67" s="1">
        <f>'option 2 single calculation met'!U68</f>
        <v>151</v>
      </c>
    </row>
    <row r="68" spans="2:21" x14ac:dyDescent="0.2">
      <c r="B68" t="s">
        <v>37</v>
      </c>
      <c r="C68" t="s">
        <v>7</v>
      </c>
      <c r="D68">
        <f>'option 2 single calculation met'!D68</f>
        <v>241</v>
      </c>
      <c r="E68">
        <f>'option 2 single calculation met'!E68</f>
        <v>535</v>
      </c>
      <c r="G68" s="10">
        <f t="shared" si="36"/>
        <v>31.056701030927837</v>
      </c>
      <c r="H68" s="1" t="s">
        <v>2</v>
      </c>
      <c r="I68" s="10">
        <f>G68+G70*(G68/(G68+G69))</f>
        <v>32.847440903542989</v>
      </c>
      <c r="J68" t="s">
        <v>2</v>
      </c>
      <c r="L68" t="str">
        <f>CONCATENATE(ROUND(I68,1),"% of ",B68," ",C68," litter consists of packaging")</f>
        <v>32,8% of MED industrial litter consists of packaging</v>
      </c>
      <c r="R68" s="86" t="str">
        <f>'option 2 single calculation met'!R69</f>
        <v>Black Sea</v>
      </c>
      <c r="S68" s="1">
        <f>'option 2 single calculation met'!S69</f>
        <v>631</v>
      </c>
      <c r="T68" s="3">
        <f>'option 2 single calculation met'!T69</f>
        <v>1.2680868167202573E-2</v>
      </c>
      <c r="U68" s="1">
        <f>'option 2 single calculation met'!U69</f>
        <v>7</v>
      </c>
    </row>
    <row r="69" spans="2:21" x14ac:dyDescent="0.2">
      <c r="B69" t="s">
        <v>37</v>
      </c>
      <c r="C69" t="s">
        <v>34</v>
      </c>
      <c r="D69">
        <f>'option 2 single calculation met'!D69</f>
        <v>17044</v>
      </c>
      <c r="E69">
        <f>'option 2 single calculation met'!E69</f>
        <v>6716</v>
      </c>
      <c r="G69" s="10">
        <f t="shared" si="36"/>
        <v>71.734006734006741</v>
      </c>
      <c r="H69" s="1" t="s">
        <v>2</v>
      </c>
      <c r="I69" s="10">
        <f>G69+G70*(G69/(G68+G69))</f>
        <v>75.870213794541144</v>
      </c>
      <c r="J69" t="s">
        <v>2</v>
      </c>
      <c r="L69" t="str">
        <f>CONCATENATE(ROUND(I69,1),"% of ",B69," ",C69," litter consists of packaging")</f>
        <v>75,9% of MED consumer litter consists of packaging</v>
      </c>
      <c r="R69" s="86" t="str">
        <f>'option 2 single calculation met'!R70</f>
        <v>Total coast line</v>
      </c>
      <c r="S69" s="1">
        <f>'option 2 single calculation met'!S70</f>
        <v>49760</v>
      </c>
      <c r="T69" s="3">
        <f>'option 2 single calculation met'!T70</f>
        <v>1</v>
      </c>
      <c r="U69" s="1"/>
    </row>
    <row r="70" spans="2:21" ht="13.5" thickBot="1" x14ac:dyDescent="0.25">
      <c r="B70" t="s">
        <v>37</v>
      </c>
      <c r="C70" t="s">
        <v>8</v>
      </c>
      <c r="D70">
        <f>'option 2 single calculation met'!D70</f>
        <v>86</v>
      </c>
      <c r="E70">
        <f>'option 2 single calculation met'!E70</f>
        <v>1365</v>
      </c>
      <c r="G70" s="10">
        <f t="shared" si="36"/>
        <v>5.9269469331495523</v>
      </c>
      <c r="H70" s="1" t="s">
        <v>2</v>
      </c>
    </row>
    <row r="71" spans="2:21" x14ac:dyDescent="0.2">
      <c r="B71" t="s">
        <v>13</v>
      </c>
      <c r="C71" t="s">
        <v>34</v>
      </c>
      <c r="I71" s="17">
        <f>'option 2 single calculation met'!I71</f>
        <v>60.789731032131009</v>
      </c>
      <c r="J71" t="s">
        <v>2</v>
      </c>
      <c r="L71" t="str">
        <f>'option 2 single calculation met'!L71</f>
        <v>60,8% of EU consumer litter consists of packaging</v>
      </c>
    </row>
    <row r="72" spans="2:21" ht="13.5" thickBot="1" x14ac:dyDescent="0.25">
      <c r="B72" t="s">
        <v>13</v>
      </c>
      <c r="C72" t="s">
        <v>7</v>
      </c>
      <c r="I72" s="19">
        <f>'option 2 single calculation met'!I72</f>
        <v>7.3719774495337935</v>
      </c>
      <c r="J72" t="s">
        <v>2</v>
      </c>
      <c r="L72" t="str">
        <f>'option 2 single calculation met'!L72</f>
        <v>7,4% of EU industrial litter consists of packaging</v>
      </c>
    </row>
    <row r="76" spans="2:21" x14ac:dyDescent="0.2">
      <c r="B76" s="84" t="s">
        <v>68</v>
      </c>
      <c r="C76" s="53"/>
    </row>
    <row r="77" spans="2:21" x14ac:dyDescent="0.2">
      <c r="B77" t="str">
        <f>'option 2 single calculation met'!B77</f>
        <v>as in option 1</v>
      </c>
    </row>
    <row r="79" spans="2:21" ht="14.25" x14ac:dyDescent="0.2">
      <c r="B79" s="12" t="s">
        <v>69</v>
      </c>
      <c r="C79" s="12" t="s">
        <v>70</v>
      </c>
      <c r="D79" s="12" t="s">
        <v>71</v>
      </c>
      <c r="E79" s="12" t="s">
        <v>72</v>
      </c>
      <c r="F79" s="12" t="s">
        <v>73</v>
      </c>
    </row>
    <row r="80" spans="2:21" ht="14.25" x14ac:dyDescent="0.2">
      <c r="B80" s="13">
        <f>'option 2 single calculation met'!B80</f>
        <v>219</v>
      </c>
      <c r="C80" s="14" t="s">
        <v>35</v>
      </c>
      <c r="D80" s="14" t="s">
        <v>63</v>
      </c>
      <c r="E80" s="14" t="s">
        <v>32</v>
      </c>
      <c r="F80" s="14" t="s">
        <v>34</v>
      </c>
      <c r="H80" s="1">
        <f t="shared" ref="H80:H85" si="37">B80/$B$86*100</f>
        <v>3.3973033008968847</v>
      </c>
    </row>
    <row r="81" spans="2:8" ht="14.25" x14ac:dyDescent="0.2">
      <c r="B81" s="13">
        <f>'option 2 single calculation met'!B81</f>
        <v>1046.9933523266857</v>
      </c>
      <c r="C81" s="14" t="s">
        <v>35</v>
      </c>
      <c r="D81" s="14" t="s">
        <v>76</v>
      </c>
      <c r="E81" s="14" t="s">
        <v>32</v>
      </c>
      <c r="F81" s="14" t="s">
        <v>34</v>
      </c>
      <c r="H81" s="1">
        <f t="shared" si="37"/>
        <v>16.241798958340382</v>
      </c>
    </row>
    <row r="82" spans="2:8" ht="14.25" x14ac:dyDescent="0.2">
      <c r="B82" s="13">
        <f>'option 2 single calculation met'!B82</f>
        <v>426</v>
      </c>
      <c r="C82" s="14" t="s">
        <v>35</v>
      </c>
      <c r="D82" s="14" t="s">
        <v>77</v>
      </c>
      <c r="E82" s="14" t="s">
        <v>32</v>
      </c>
      <c r="F82" s="14" t="s">
        <v>34</v>
      </c>
      <c r="H82" s="1">
        <f t="shared" si="37"/>
        <v>6.6084529962651724</v>
      </c>
    </row>
    <row r="83" spans="2:8" ht="14.25" x14ac:dyDescent="0.2">
      <c r="B83" s="13">
        <f>'option 2 single calculation met'!B83</f>
        <v>4296.2959719789842</v>
      </c>
      <c r="C83" s="14" t="s">
        <v>35</v>
      </c>
      <c r="D83" s="14" t="s">
        <v>78</v>
      </c>
      <c r="E83" s="14" t="s">
        <v>32</v>
      </c>
      <c r="F83" s="14" t="s">
        <v>34</v>
      </c>
      <c r="H83" s="1">
        <f t="shared" si="37"/>
        <v>66.647582133489465</v>
      </c>
    </row>
    <row r="84" spans="2:8" ht="14.25" x14ac:dyDescent="0.2">
      <c r="B84" s="13">
        <f>'option 2 single calculation met'!B84</f>
        <v>229</v>
      </c>
      <c r="C84" s="14" t="s">
        <v>35</v>
      </c>
      <c r="D84" s="14" t="s">
        <v>79</v>
      </c>
      <c r="E84" s="14" t="s">
        <v>32</v>
      </c>
      <c r="F84" s="14" t="s">
        <v>34</v>
      </c>
      <c r="H84" s="1">
        <f t="shared" si="37"/>
        <v>3.5524313055040482</v>
      </c>
    </row>
    <row r="85" spans="2:8" ht="14.25" x14ac:dyDescent="0.2">
      <c r="B85" s="13">
        <f>'option 2 single calculation met'!B85</f>
        <v>229</v>
      </c>
      <c r="C85" s="14" t="s">
        <v>35</v>
      </c>
      <c r="D85" s="14" t="s">
        <v>80</v>
      </c>
      <c r="E85" s="14" t="s">
        <v>32</v>
      </c>
      <c r="F85" s="14" t="s">
        <v>34</v>
      </c>
      <c r="H85" s="1">
        <f t="shared" si="37"/>
        <v>3.5524313055040482</v>
      </c>
    </row>
    <row r="86" spans="2:8" ht="14.25" x14ac:dyDescent="0.2">
      <c r="B86" s="15">
        <f>SUM(B80:B85)</f>
        <v>6446.2893243056697</v>
      </c>
      <c r="C86" s="14"/>
      <c r="D86" s="14"/>
      <c r="E86" s="14"/>
      <c r="F86" s="14"/>
      <c r="H86" s="16">
        <f>SUM(H80:H85)</f>
        <v>99.999999999999986</v>
      </c>
    </row>
    <row r="87" spans="2:8" ht="14.25" x14ac:dyDescent="0.2">
      <c r="B87" s="13">
        <f>'option 2 single calculation met'!B87</f>
        <v>24</v>
      </c>
      <c r="C87" s="14" t="s">
        <v>36</v>
      </c>
      <c r="D87" s="14" t="s">
        <v>63</v>
      </c>
      <c r="E87" s="14" t="s">
        <v>32</v>
      </c>
      <c r="F87" s="14" t="s">
        <v>34</v>
      </c>
      <c r="H87" s="1">
        <f t="shared" ref="H87:H92" si="38">B87/$B$93*100</f>
        <v>0.90739181920646006</v>
      </c>
    </row>
    <row r="88" spans="2:8" ht="14.25" x14ac:dyDescent="0.2">
      <c r="B88" s="13">
        <f>'option 2 single calculation met'!B88</f>
        <v>482.94339622641508</v>
      </c>
      <c r="C88" s="14" t="s">
        <v>36</v>
      </c>
      <c r="D88" s="14" t="s">
        <v>76</v>
      </c>
      <c r="E88" s="14" t="s">
        <v>32</v>
      </c>
      <c r="F88" s="14" t="s">
        <v>34</v>
      </c>
      <c r="H88" s="1">
        <f t="shared" si="38"/>
        <v>18.259120286484713</v>
      </c>
    </row>
    <row r="89" spans="2:8" ht="14.25" x14ac:dyDescent="0.2">
      <c r="B89" s="13">
        <f>'option 2 single calculation met'!B89</f>
        <v>44</v>
      </c>
      <c r="C89" s="14" t="s">
        <v>36</v>
      </c>
      <c r="D89" s="14" t="s">
        <v>77</v>
      </c>
      <c r="E89" s="14" t="s">
        <v>32</v>
      </c>
      <c r="F89" s="14" t="s">
        <v>34</v>
      </c>
      <c r="H89" s="1">
        <f t="shared" si="38"/>
        <v>1.6635516685451768</v>
      </c>
    </row>
    <row r="90" spans="2:8" ht="14.25" x14ac:dyDescent="0.2">
      <c r="B90" s="13">
        <f>'option 2 single calculation met'!B90</f>
        <v>2024</v>
      </c>
      <c r="C90" s="14" t="s">
        <v>36</v>
      </c>
      <c r="D90" s="14" t="s">
        <v>78</v>
      </c>
      <c r="E90" s="14" t="s">
        <v>32</v>
      </c>
      <c r="F90" s="14" t="s">
        <v>34</v>
      </c>
      <c r="H90" s="1">
        <f t="shared" si="38"/>
        <v>76.523376753078139</v>
      </c>
    </row>
    <row r="91" spans="2:8" ht="14.25" x14ac:dyDescent="0.2">
      <c r="B91" s="13">
        <f>'option 2 single calculation met'!B91</f>
        <v>69</v>
      </c>
      <c r="C91" s="14" t="s">
        <v>36</v>
      </c>
      <c r="D91" s="14" t="s">
        <v>79</v>
      </c>
      <c r="E91" s="14" t="s">
        <v>32</v>
      </c>
      <c r="F91" s="14" t="s">
        <v>34</v>
      </c>
      <c r="H91" s="1">
        <f t="shared" si="38"/>
        <v>2.6087514802185732</v>
      </c>
    </row>
    <row r="92" spans="2:8" ht="14.25" x14ac:dyDescent="0.2">
      <c r="B92" s="13">
        <f>'option 2 single calculation met'!B92</f>
        <v>1</v>
      </c>
      <c r="C92" s="14" t="s">
        <v>36</v>
      </c>
      <c r="D92" s="14" t="s">
        <v>80</v>
      </c>
      <c r="E92" s="14" t="s">
        <v>32</v>
      </c>
      <c r="F92" s="14" t="s">
        <v>34</v>
      </c>
      <c r="H92" s="1">
        <f t="shared" si="38"/>
        <v>3.7807992466935843E-2</v>
      </c>
    </row>
    <row r="93" spans="2:8" ht="14.25" x14ac:dyDescent="0.2">
      <c r="B93" s="15">
        <f>SUM(B87:B92)</f>
        <v>2644.9433962264152</v>
      </c>
      <c r="C93" s="14"/>
      <c r="D93" s="14"/>
      <c r="E93" s="14"/>
      <c r="F93" s="14"/>
      <c r="H93" s="16">
        <f>SUM(H87:H92)</f>
        <v>100</v>
      </c>
    </row>
    <row r="94" spans="2:8" ht="14.25" x14ac:dyDescent="0.2">
      <c r="B94" s="13">
        <f>'option 2 single calculation met'!B94</f>
        <v>923</v>
      </c>
      <c r="C94" s="14" t="s">
        <v>37</v>
      </c>
      <c r="D94" s="14" t="s">
        <v>63</v>
      </c>
      <c r="E94" s="14" t="s">
        <v>32</v>
      </c>
      <c r="F94" s="14" t="s">
        <v>34</v>
      </c>
      <c r="H94" s="1">
        <f t="shared" ref="H94:H99" si="39">B94/$B$100*100</f>
        <v>5.3898006523170325</v>
      </c>
    </row>
    <row r="95" spans="2:8" ht="14.25" x14ac:dyDescent="0.2">
      <c r="B95" s="13">
        <f>'option 2 single calculation met'!B95</f>
        <v>512</v>
      </c>
      <c r="C95" s="14" t="s">
        <v>37</v>
      </c>
      <c r="D95" s="14" t="s">
        <v>76</v>
      </c>
      <c r="E95" s="14" t="s">
        <v>32</v>
      </c>
      <c r="F95" s="14" t="s">
        <v>34</v>
      </c>
      <c r="H95" s="1">
        <f t="shared" si="39"/>
        <v>2.9897919111444424</v>
      </c>
    </row>
    <row r="96" spans="2:8" ht="14.25" x14ac:dyDescent="0.2">
      <c r="B96" s="13">
        <f>'option 2 single calculation met'!B96</f>
        <v>1597</v>
      </c>
      <c r="C96" s="14" t="s">
        <v>37</v>
      </c>
      <c r="D96" s="14" t="s">
        <v>77</v>
      </c>
      <c r="E96" s="14" t="s">
        <v>32</v>
      </c>
      <c r="F96" s="14" t="s">
        <v>34</v>
      </c>
      <c r="H96" s="1">
        <f t="shared" si="39"/>
        <v>9.3255814103470218</v>
      </c>
    </row>
    <row r="97" spans="2:8" ht="14.25" x14ac:dyDescent="0.2">
      <c r="B97" s="13">
        <f>'option 2 single calculation met'!B97</f>
        <v>14022.937628318585</v>
      </c>
      <c r="C97" s="14" t="s">
        <v>37</v>
      </c>
      <c r="D97" s="14" t="s">
        <v>78</v>
      </c>
      <c r="E97" s="14" t="s">
        <v>32</v>
      </c>
      <c r="F97" s="14" t="s">
        <v>34</v>
      </c>
      <c r="H97" s="1">
        <f t="shared" si="39"/>
        <v>81.886065413339722</v>
      </c>
    </row>
    <row r="98" spans="2:8" ht="14.25" x14ac:dyDescent="0.2">
      <c r="B98" s="13">
        <f>'option 2 single calculation met'!B98</f>
        <v>38</v>
      </c>
      <c r="C98" s="14" t="s">
        <v>37</v>
      </c>
      <c r="D98" s="14" t="s">
        <v>79</v>
      </c>
      <c r="E98" s="14" t="s">
        <v>32</v>
      </c>
      <c r="F98" s="14" t="s">
        <v>34</v>
      </c>
      <c r="H98" s="1">
        <f t="shared" si="39"/>
        <v>0.2218986184052516</v>
      </c>
    </row>
    <row r="99" spans="2:8" ht="14.25" x14ac:dyDescent="0.2">
      <c r="B99" s="13">
        <f>'option 2 single calculation met'!B99</f>
        <v>32</v>
      </c>
      <c r="C99" s="14" t="s">
        <v>37</v>
      </c>
      <c r="D99" s="14" t="s">
        <v>80</v>
      </c>
      <c r="E99" s="14" t="s">
        <v>32</v>
      </c>
      <c r="F99" s="14" t="s">
        <v>34</v>
      </c>
      <c r="H99" s="1">
        <f t="shared" si="39"/>
        <v>0.18686199444652765</v>
      </c>
    </row>
    <row r="100" spans="2:8" ht="14.25" x14ac:dyDescent="0.2">
      <c r="B100" s="15">
        <f>SUM(B94:B99)</f>
        <v>17124.937628318585</v>
      </c>
      <c r="C100" s="14"/>
      <c r="D100" s="14"/>
      <c r="E100" s="14"/>
      <c r="F100" s="14"/>
      <c r="H100" s="16">
        <f>SUM(H94:H99)</f>
        <v>100</v>
      </c>
    </row>
    <row r="101" spans="2:8" ht="14.25" x14ac:dyDescent="0.2">
      <c r="B101" s="13">
        <f>'option 2 single calculation met'!B101</f>
        <v>171</v>
      </c>
      <c r="C101" s="14" t="s">
        <v>31</v>
      </c>
      <c r="D101" s="14" t="s">
        <v>63</v>
      </c>
      <c r="E101" s="14" t="s">
        <v>32</v>
      </c>
      <c r="F101" s="14" t="s">
        <v>34</v>
      </c>
      <c r="H101" s="1">
        <f t="shared" ref="H101:H106" si="40">B101/$B$107*100</f>
        <v>0.89511083776975808</v>
      </c>
    </row>
    <row r="102" spans="2:8" ht="14.25" x14ac:dyDescent="0.2">
      <c r="B102" s="13">
        <f>'option 2 single calculation met'!B102</f>
        <v>747.52475247524751</v>
      </c>
      <c r="C102" s="14" t="s">
        <v>31</v>
      </c>
      <c r="D102" s="14" t="s">
        <v>76</v>
      </c>
      <c r="E102" s="14" t="s">
        <v>32</v>
      </c>
      <c r="F102" s="14" t="s">
        <v>34</v>
      </c>
      <c r="H102" s="1">
        <f t="shared" si="40"/>
        <v>3.912967879776315</v>
      </c>
    </row>
    <row r="103" spans="2:8" ht="14.25" x14ac:dyDescent="0.2">
      <c r="B103" s="13">
        <f>'option 2 single calculation met'!B103</f>
        <v>391</v>
      </c>
      <c r="C103" s="14" t="s">
        <v>31</v>
      </c>
      <c r="D103" s="14" t="s">
        <v>77</v>
      </c>
      <c r="E103" s="14" t="s">
        <v>32</v>
      </c>
      <c r="F103" s="14" t="s">
        <v>34</v>
      </c>
      <c r="H103" s="1">
        <f t="shared" si="40"/>
        <v>2.0467154243741255</v>
      </c>
    </row>
    <row r="104" spans="2:8" ht="14.25" x14ac:dyDescent="0.2">
      <c r="B104" s="13">
        <f>'option 2 single calculation met'!B104</f>
        <v>17423.254666178702</v>
      </c>
      <c r="C104" s="14" t="s">
        <v>31</v>
      </c>
      <c r="D104" s="14" t="s">
        <v>78</v>
      </c>
      <c r="E104" s="14" t="s">
        <v>32</v>
      </c>
      <c r="F104" s="14" t="s">
        <v>34</v>
      </c>
      <c r="H104" s="1">
        <f t="shared" si="40"/>
        <v>91.203181759760611</v>
      </c>
    </row>
    <row r="105" spans="2:8" ht="14.25" x14ac:dyDescent="0.2">
      <c r="B105" s="13">
        <f>'option 2 single calculation met'!B105</f>
        <v>312</v>
      </c>
      <c r="C105" s="14" t="s">
        <v>31</v>
      </c>
      <c r="D105" s="14" t="s">
        <v>79</v>
      </c>
      <c r="E105" s="14" t="s">
        <v>32</v>
      </c>
      <c r="F105" s="14" t="s">
        <v>34</v>
      </c>
      <c r="H105" s="1">
        <f t="shared" si="40"/>
        <v>1.6331846864571027</v>
      </c>
    </row>
    <row r="106" spans="2:8" ht="14.25" x14ac:dyDescent="0.2">
      <c r="B106" s="13">
        <f>'option 2 single calculation met'!B106</f>
        <v>59</v>
      </c>
      <c r="C106" s="14" t="s">
        <v>31</v>
      </c>
      <c r="D106" s="14" t="s">
        <v>80</v>
      </c>
      <c r="E106" s="14" t="s">
        <v>32</v>
      </c>
      <c r="F106" s="14" t="s">
        <v>34</v>
      </c>
      <c r="H106" s="1">
        <f t="shared" si="40"/>
        <v>0.3088394118620803</v>
      </c>
    </row>
    <row r="107" spans="2:8" ht="14.25" x14ac:dyDescent="0.2">
      <c r="B107" s="15">
        <f>SUM(B101:B106)</f>
        <v>19103.77941865395</v>
      </c>
      <c r="C107" s="14"/>
      <c r="D107" s="14"/>
      <c r="E107" s="14"/>
      <c r="F107" s="14"/>
      <c r="H107" s="16">
        <f>SUM(H101:H106)</f>
        <v>99.999999999999986</v>
      </c>
    </row>
    <row r="108" spans="2:8" ht="14.25" x14ac:dyDescent="0.2">
      <c r="B108" s="13">
        <f>'option 2 single calculation met'!B108</f>
        <v>2</v>
      </c>
      <c r="C108" s="14" t="s">
        <v>35</v>
      </c>
      <c r="D108" s="14" t="s">
        <v>74</v>
      </c>
      <c r="E108" s="14" t="s">
        <v>32</v>
      </c>
      <c r="F108" s="14" t="s">
        <v>75</v>
      </c>
      <c r="H108" s="1">
        <f>B108/$B$113*100</f>
        <v>0.16670686028883624</v>
      </c>
    </row>
    <row r="109" spans="2:8" ht="14.25" x14ac:dyDescent="0.2">
      <c r="B109" s="13">
        <f>'option 2 single calculation met'!B109</f>
        <v>7.0066476733143404</v>
      </c>
      <c r="C109" s="14" t="s">
        <v>35</v>
      </c>
      <c r="D109" s="14" t="s">
        <v>76</v>
      </c>
      <c r="E109" s="14" t="s">
        <v>32</v>
      </c>
      <c r="F109" s="14" t="s">
        <v>75</v>
      </c>
      <c r="H109" s="1">
        <f>B109/$B$113*100</f>
        <v>0.5840281173841565</v>
      </c>
    </row>
    <row r="110" spans="2:8" ht="14.25" x14ac:dyDescent="0.2">
      <c r="B110" s="13">
        <f>'option 2 single calculation met'!B110</f>
        <v>237</v>
      </c>
      <c r="C110" s="14" t="s">
        <v>35</v>
      </c>
      <c r="D110" s="14" t="s">
        <v>77</v>
      </c>
      <c r="E110" s="14" t="s">
        <v>32</v>
      </c>
      <c r="F110" s="14" t="s">
        <v>75</v>
      </c>
      <c r="H110" s="1">
        <f>B110/$B$113*100</f>
        <v>19.754762944227092</v>
      </c>
    </row>
    <row r="111" spans="2:8" ht="14.25" x14ac:dyDescent="0.2">
      <c r="B111" s="13">
        <f>'option 2 single calculation met'!B111</f>
        <v>463.70402802101574</v>
      </c>
      <c r="C111" s="14" t="s">
        <v>35</v>
      </c>
      <c r="D111" s="14" t="s">
        <v>78</v>
      </c>
      <c r="E111" s="14" t="s">
        <v>32</v>
      </c>
      <c r="F111" s="14" t="s">
        <v>75</v>
      </c>
      <c r="H111" s="1">
        <f>B111/$B$113*100</f>
        <v>38.651321307335031</v>
      </c>
    </row>
    <row r="112" spans="2:8" ht="14.25" x14ac:dyDescent="0.2">
      <c r="B112" s="13">
        <f>'option 2 single calculation met'!B112</f>
        <v>490</v>
      </c>
      <c r="C112" s="14" t="s">
        <v>35</v>
      </c>
      <c r="D112" s="14" t="s">
        <v>79</v>
      </c>
      <c r="E112" s="14" t="s">
        <v>32</v>
      </c>
      <c r="F112" s="14" t="s">
        <v>75</v>
      </c>
      <c r="H112" s="1">
        <f>B112/$B$113*100</f>
        <v>40.843180770764874</v>
      </c>
    </row>
    <row r="113" spans="2:9" ht="14.25" x14ac:dyDescent="0.2">
      <c r="B113" s="15">
        <f>SUM(B108:B112)</f>
        <v>1199.7106756943301</v>
      </c>
      <c r="C113" s="14"/>
      <c r="D113" s="14"/>
      <c r="E113" s="14"/>
      <c r="F113" s="14"/>
      <c r="H113" s="16">
        <f>SUM(H108:H112)</f>
        <v>100</v>
      </c>
    </row>
    <row r="114" spans="2:9" ht="14.25" x14ac:dyDescent="0.2">
      <c r="B114" s="13">
        <f>'option 2 single calculation met'!B114</f>
        <v>3</v>
      </c>
      <c r="C114" s="14" t="s">
        <v>36</v>
      </c>
      <c r="D114" s="14" t="s">
        <v>76</v>
      </c>
      <c r="E114" s="14" t="s">
        <v>32</v>
      </c>
      <c r="F114" s="14" t="s">
        <v>75</v>
      </c>
      <c r="H114" s="1">
        <f>B114/$B$116*100</f>
        <v>20</v>
      </c>
    </row>
    <row r="115" spans="2:9" ht="14.25" x14ac:dyDescent="0.2">
      <c r="B115" s="13">
        <f>'option 2 single calculation met'!B115</f>
        <v>12</v>
      </c>
      <c r="C115" s="14" t="s">
        <v>36</v>
      </c>
      <c r="D115" s="14" t="s">
        <v>77</v>
      </c>
      <c r="E115" s="14" t="s">
        <v>32</v>
      </c>
      <c r="F115" s="14" t="s">
        <v>75</v>
      </c>
      <c r="H115" s="1">
        <f>B115/$B$116*100</f>
        <v>80</v>
      </c>
    </row>
    <row r="116" spans="2:9" ht="14.25" x14ac:dyDescent="0.2">
      <c r="B116" s="15">
        <f>SUM(B114:B115)</f>
        <v>15</v>
      </c>
      <c r="C116" s="14"/>
      <c r="D116" s="14"/>
      <c r="E116" s="14"/>
      <c r="F116" s="14"/>
      <c r="H116" s="16">
        <f>SUM(H114:H115)</f>
        <v>100</v>
      </c>
    </row>
    <row r="117" spans="2:9" ht="14.25" x14ac:dyDescent="0.2">
      <c r="B117" s="13">
        <f>'option 2 single calculation met'!B117</f>
        <v>38</v>
      </c>
      <c r="C117" s="14" t="s">
        <v>37</v>
      </c>
      <c r="D117" s="14" t="s">
        <v>77</v>
      </c>
      <c r="E117" s="14" t="s">
        <v>32</v>
      </c>
      <c r="F117" s="14" t="s">
        <v>75</v>
      </c>
      <c r="H117" s="1">
        <f>B117/$B$120*100</f>
        <v>15.698433315365806</v>
      </c>
    </row>
    <row r="118" spans="2:9" ht="14.25" x14ac:dyDescent="0.2">
      <c r="B118" s="13">
        <f>'option 2 single calculation met'!B118</f>
        <v>184.06237168141593</v>
      </c>
      <c r="C118" s="14" t="s">
        <v>37</v>
      </c>
      <c r="D118" s="14" t="s">
        <v>78</v>
      </c>
      <c r="E118" s="14" t="s">
        <v>32</v>
      </c>
      <c r="F118" s="14" t="s">
        <v>75</v>
      </c>
      <c r="H118" s="1">
        <f>B118/$B$120*100</f>
        <v>76.03923336075745</v>
      </c>
    </row>
    <row r="119" spans="2:9" ht="14.25" x14ac:dyDescent="0.2">
      <c r="B119" s="13">
        <f>'option 2 single calculation met'!B119</f>
        <v>20</v>
      </c>
      <c r="C119" s="14" t="s">
        <v>37</v>
      </c>
      <c r="D119" s="14" t="s">
        <v>79</v>
      </c>
      <c r="E119" s="14" t="s">
        <v>32</v>
      </c>
      <c r="F119" s="14" t="s">
        <v>75</v>
      </c>
      <c r="H119" s="1">
        <f>B119/$B$120*100</f>
        <v>8.2623333238767405</v>
      </c>
    </row>
    <row r="120" spans="2:9" ht="14.25" x14ac:dyDescent="0.2">
      <c r="B120" s="15">
        <f>SUM(B117:B119)</f>
        <v>242.06237168141593</v>
      </c>
      <c r="C120" s="14"/>
      <c r="D120" s="14"/>
      <c r="E120" s="14"/>
      <c r="F120" s="14"/>
      <c r="H120" s="16">
        <f>SUM(H117:H119)</f>
        <v>100</v>
      </c>
    </row>
    <row r="121" spans="2:9" ht="14.25" x14ac:dyDescent="0.2">
      <c r="B121" s="13">
        <f>'option 2 single calculation met'!B121</f>
        <v>33</v>
      </c>
      <c r="C121" s="14" t="s">
        <v>31</v>
      </c>
      <c r="D121" s="14" t="s">
        <v>74</v>
      </c>
      <c r="E121" s="14" t="s">
        <v>32</v>
      </c>
      <c r="F121" s="14" t="s">
        <v>75</v>
      </c>
      <c r="H121" s="1">
        <f>B121/$B$126*100</f>
        <v>1.3032040037546095</v>
      </c>
    </row>
    <row r="122" spans="2:9" ht="14.25" x14ac:dyDescent="0.2">
      <c r="B122" s="13">
        <f>'option 2 single calculation met'!B122</f>
        <v>7.4752475247524757</v>
      </c>
      <c r="C122" s="14" t="s">
        <v>31</v>
      </c>
      <c r="D122" s="14" t="s">
        <v>76</v>
      </c>
      <c r="E122" s="14" t="s">
        <v>32</v>
      </c>
      <c r="F122" s="14" t="s">
        <v>75</v>
      </c>
      <c r="H122" s="1">
        <f>B122/$B$126*100</f>
        <v>0.29520522737315635</v>
      </c>
    </row>
    <row r="123" spans="2:9" ht="14.25" x14ac:dyDescent="0.2">
      <c r="B123" s="13">
        <f>'option 2 single calculation met'!B123</f>
        <v>61</v>
      </c>
      <c r="C123" s="14" t="s">
        <v>31</v>
      </c>
      <c r="D123" s="14" t="s">
        <v>77</v>
      </c>
      <c r="E123" s="14" t="s">
        <v>32</v>
      </c>
      <c r="F123" s="14" t="s">
        <v>75</v>
      </c>
      <c r="H123" s="1">
        <f>B123/$B$126*100</f>
        <v>2.4089528554251873</v>
      </c>
    </row>
    <row r="124" spans="2:9" ht="14.25" x14ac:dyDescent="0.2">
      <c r="B124" s="13">
        <f>'option 2 single calculation met'!B124</f>
        <v>2244.7453338212999</v>
      </c>
      <c r="C124" s="14" t="s">
        <v>31</v>
      </c>
      <c r="D124" s="14" t="s">
        <v>78</v>
      </c>
      <c r="E124" s="14" t="s">
        <v>32</v>
      </c>
      <c r="F124" s="14" t="s">
        <v>75</v>
      </c>
      <c r="H124" s="1">
        <f>B124/$B$126*100</f>
        <v>88.647306255921066</v>
      </c>
    </row>
    <row r="125" spans="2:9" ht="14.25" x14ac:dyDescent="0.2">
      <c r="B125" s="13">
        <f>'option 2 single calculation met'!B125</f>
        <v>186</v>
      </c>
      <c r="C125" s="14" t="s">
        <v>31</v>
      </c>
      <c r="D125" s="14" t="s">
        <v>79</v>
      </c>
      <c r="E125" s="14" t="s">
        <v>32</v>
      </c>
      <c r="F125" s="14" t="s">
        <v>75</v>
      </c>
      <c r="H125" s="1">
        <f>B125/$B$126*100</f>
        <v>7.3453316575259802</v>
      </c>
    </row>
    <row r="126" spans="2:9" ht="14.25" x14ac:dyDescent="0.2">
      <c r="B126" s="15">
        <f>SUM(B121:B125)</f>
        <v>2532.2205813460523</v>
      </c>
      <c r="C126" s="14"/>
      <c r="D126" s="14"/>
      <c r="E126" s="14"/>
      <c r="F126" s="14"/>
      <c r="H126" s="16">
        <f>SUM(H121:H125)</f>
        <v>100</v>
      </c>
    </row>
    <row r="127" spans="2:9" ht="14.25" x14ac:dyDescent="0.2">
      <c r="B127" s="13"/>
      <c r="C127" s="14"/>
      <c r="D127" s="14"/>
      <c r="E127" s="14"/>
      <c r="F127" s="14"/>
    </row>
    <row r="128" spans="2:9" ht="14.25" x14ac:dyDescent="0.2">
      <c r="B128" s="13" t="s">
        <v>34</v>
      </c>
      <c r="C128" s="14" t="s">
        <v>81</v>
      </c>
      <c r="D128" s="14" t="s">
        <v>62</v>
      </c>
      <c r="E128" s="14"/>
      <c r="F128" s="14"/>
      <c r="H128" s="149">
        <f>'option 2 single calculation met'!H128</f>
        <v>83.057979393622716</v>
      </c>
      <c r="I128" t="s">
        <v>2</v>
      </c>
    </row>
    <row r="129" spans="2:9" ht="14.25" x14ac:dyDescent="0.2">
      <c r="B129" s="15"/>
      <c r="C129" s="14"/>
      <c r="D129" s="14" t="s">
        <v>63</v>
      </c>
      <c r="E129" s="14"/>
      <c r="F129" s="14"/>
      <c r="H129" s="150">
        <f>'option 2 single calculation met'!H129</f>
        <v>4.2372390540296649</v>
      </c>
      <c r="I129" t="s">
        <v>2</v>
      </c>
    </row>
    <row r="130" spans="2:9" ht="14.25" x14ac:dyDescent="0.2">
      <c r="B130" s="13"/>
      <c r="C130" s="14"/>
      <c r="D130" s="14" t="s">
        <v>76</v>
      </c>
      <c r="E130" s="14"/>
      <c r="F130" s="14"/>
      <c r="H130" s="150">
        <f>'option 2 single calculation met'!H130</f>
        <v>4.1280488678999632</v>
      </c>
      <c r="I130" t="s">
        <v>2</v>
      </c>
    </row>
    <row r="131" spans="2:9" ht="14.25" x14ac:dyDescent="0.2">
      <c r="B131" s="13"/>
      <c r="C131" s="14"/>
      <c r="D131" s="14" t="s">
        <v>65</v>
      </c>
      <c r="E131" s="14"/>
      <c r="F131" s="14"/>
      <c r="H131" s="150">
        <f>'option 2 single calculation met'!H131</f>
        <v>7.4750323704561428</v>
      </c>
      <c r="I131" t="s">
        <v>2</v>
      </c>
    </row>
    <row r="132" spans="2:9" ht="14.25" x14ac:dyDescent="0.2">
      <c r="B132" s="13"/>
      <c r="C132" s="14"/>
      <c r="D132" s="14" t="s">
        <v>106</v>
      </c>
      <c r="E132" s="14"/>
      <c r="F132" s="14"/>
      <c r="H132" s="150">
        <f>'option 2 single calculation met'!H132</f>
        <v>0.7320328104678786</v>
      </c>
      <c r="I132" t="s">
        <v>2</v>
      </c>
    </row>
    <row r="133" spans="2:9" ht="14.25" x14ac:dyDescent="0.2">
      <c r="B133" s="15"/>
      <c r="C133" s="14"/>
      <c r="D133" s="14" t="s">
        <v>82</v>
      </c>
      <c r="E133" s="14"/>
      <c r="F133" s="14"/>
      <c r="H133" s="150">
        <f>'option 2 single calculation met'!H133</f>
        <v>0.36966750352363531</v>
      </c>
      <c r="I133" t="s">
        <v>2</v>
      </c>
    </row>
    <row r="134" spans="2:9" ht="14.25" x14ac:dyDescent="0.2">
      <c r="B134" s="13"/>
      <c r="C134" s="14"/>
      <c r="D134" s="14"/>
      <c r="E134" s="14"/>
      <c r="F134" s="14"/>
      <c r="H134" s="151">
        <f>SUM(H128:H133)</f>
        <v>100.00000000000001</v>
      </c>
      <c r="I134" t="s">
        <v>2</v>
      </c>
    </row>
    <row r="135" spans="2:9" ht="14.25" x14ac:dyDescent="0.2">
      <c r="B135" s="13"/>
      <c r="C135" s="14"/>
      <c r="D135" s="14"/>
      <c r="E135" s="14"/>
      <c r="F135" s="14"/>
    </row>
    <row r="136" spans="2:9" ht="14.25" x14ac:dyDescent="0.2">
      <c r="B136" s="13" t="s">
        <v>7</v>
      </c>
      <c r="C136" s="14" t="s">
        <v>81</v>
      </c>
      <c r="D136" s="14" t="s">
        <v>62</v>
      </c>
      <c r="E136" s="14"/>
      <c r="F136" s="14"/>
      <c r="H136" s="149">
        <f>'option 2 single calculation met'!H136</f>
        <v>76.266452509653249</v>
      </c>
      <c r="I136" t="s">
        <v>2</v>
      </c>
    </row>
    <row r="137" spans="2:9" ht="14.25" x14ac:dyDescent="0.2">
      <c r="B137" s="15"/>
      <c r="C137" s="14"/>
      <c r="D137" s="14" t="s">
        <v>63</v>
      </c>
      <c r="E137" s="14"/>
      <c r="F137" s="14"/>
      <c r="H137" s="150">
        <f>'option 2 single calculation met'!H137</f>
        <v>0</v>
      </c>
      <c r="I137" t="s">
        <v>2</v>
      </c>
    </row>
    <row r="138" spans="2:9" ht="14.25" x14ac:dyDescent="0.2">
      <c r="B138" s="13"/>
      <c r="C138" s="14"/>
      <c r="D138" s="14" t="s">
        <v>76</v>
      </c>
      <c r="E138" s="14"/>
      <c r="F138" s="14"/>
      <c r="H138" s="150">
        <f>'option 2 single calculation met'!H138</f>
        <v>0.68158711500309332</v>
      </c>
      <c r="I138" t="s">
        <v>2</v>
      </c>
    </row>
    <row r="139" spans="2:9" ht="14.25" x14ac:dyDescent="0.2">
      <c r="B139" s="13"/>
      <c r="C139" s="14"/>
      <c r="D139" s="14" t="s">
        <v>65</v>
      </c>
      <c r="E139" s="14"/>
      <c r="F139" s="14"/>
      <c r="H139" s="150">
        <f>'option 2 single calculation met'!H139</f>
        <v>8.5929065463644907</v>
      </c>
      <c r="I139" t="s">
        <v>2</v>
      </c>
    </row>
    <row r="140" spans="2:9" ht="14.25" x14ac:dyDescent="0.2">
      <c r="B140" s="13"/>
      <c r="C140" s="14"/>
      <c r="D140" s="14" t="s">
        <v>106</v>
      </c>
      <c r="E140" s="21"/>
      <c r="F140" s="21"/>
      <c r="H140" s="150">
        <f>'option 2 single calculation met'!H140</f>
        <v>13.652331592648871</v>
      </c>
      <c r="I140" t="s">
        <v>2</v>
      </c>
    </row>
    <row r="141" spans="2:9" ht="14.25" x14ac:dyDescent="0.2">
      <c r="B141" s="15"/>
      <c r="C141" s="14"/>
      <c r="D141" s="14" t="s">
        <v>82</v>
      </c>
      <c r="H141" s="150">
        <f>'option 2 single calculation met'!H141</f>
        <v>0.80672223633030016</v>
      </c>
      <c r="I141" t="s">
        <v>2</v>
      </c>
    </row>
    <row r="142" spans="2:9" x14ac:dyDescent="0.2">
      <c r="H142" s="151">
        <f>SUM(H136:H141)</f>
        <v>100</v>
      </c>
      <c r="I142" t="s">
        <v>2</v>
      </c>
    </row>
    <row r="146" spans="2:9" x14ac:dyDescent="0.2">
      <c r="B146" s="84" t="s">
        <v>85</v>
      </c>
      <c r="C146" s="53"/>
      <c r="D146" s="53"/>
      <c r="E146" s="53"/>
      <c r="F146" s="53"/>
      <c r="G146" s="53"/>
      <c r="H146" s="54"/>
    </row>
    <row r="147" spans="2:9" ht="13.5" thickBot="1" x14ac:dyDescent="0.25">
      <c r="B147" s="53"/>
      <c r="C147" s="53"/>
      <c r="D147" s="53">
        <v>2012</v>
      </c>
      <c r="E147" s="53">
        <v>2020</v>
      </c>
      <c r="F147" s="53"/>
      <c r="G147" s="53"/>
      <c r="H147" s="54"/>
    </row>
    <row r="148" spans="2:9" ht="13.5" thickTop="1" x14ac:dyDescent="0.2">
      <c r="B148" s="53" t="s">
        <v>86</v>
      </c>
      <c r="C148" s="53"/>
      <c r="D148" s="55">
        <f>'option 1 full implementation'!D163</f>
        <v>34.3115250426887</v>
      </c>
      <c r="E148" s="156">
        <v>34.3115250426887</v>
      </c>
      <c r="F148" s="160"/>
      <c r="G148" s="170"/>
      <c r="H148" s="54"/>
    </row>
    <row r="149" spans="2:9" x14ac:dyDescent="0.2">
      <c r="B149" s="53" t="s">
        <v>87</v>
      </c>
      <c r="C149" s="53"/>
      <c r="D149" s="55">
        <f>'option 1 full implementation'!D164</f>
        <v>71.162589235423198</v>
      </c>
      <c r="E149" s="157">
        <v>71.162589235423198</v>
      </c>
      <c r="F149" s="160"/>
      <c r="G149" s="170"/>
      <c r="H149" s="54"/>
    </row>
    <row r="150" spans="2:9" x14ac:dyDescent="0.2">
      <c r="B150" s="53" t="s">
        <v>88</v>
      </c>
      <c r="C150" s="53"/>
      <c r="D150" s="55">
        <f>'option 1 full implementation'!D165</f>
        <v>72.277569276209135</v>
      </c>
      <c r="E150" s="157">
        <v>72.277569276209135</v>
      </c>
      <c r="F150" s="160"/>
      <c r="G150" s="170"/>
      <c r="H150" s="54"/>
    </row>
    <row r="151" spans="2:9" x14ac:dyDescent="0.2">
      <c r="B151" s="53" t="s">
        <v>89</v>
      </c>
      <c r="C151" s="53"/>
      <c r="D151" s="55">
        <f>'option 1 full implementation'!D166</f>
        <v>82.956538079896461</v>
      </c>
      <c r="E151" s="157">
        <v>82.956538079896461</v>
      </c>
      <c r="F151" s="160"/>
      <c r="G151" s="170"/>
      <c r="H151" s="54"/>
    </row>
    <row r="152" spans="2:9" ht="13.5" thickBot="1" x14ac:dyDescent="0.25">
      <c r="B152" s="53" t="s">
        <v>104</v>
      </c>
      <c r="C152" s="53"/>
      <c r="D152" s="55">
        <f>'option 1 full implementation'!D167</f>
        <v>37.687432530831366</v>
      </c>
      <c r="E152" s="158">
        <v>37.687432530831366</v>
      </c>
      <c r="F152" s="160"/>
      <c r="G152" s="170"/>
      <c r="H152" s="54"/>
    </row>
    <row r="153" spans="2:9" ht="13.5" thickTop="1" x14ac:dyDescent="0.2">
      <c r="B153" s="53"/>
      <c r="C153" s="53"/>
      <c r="D153" s="53"/>
      <c r="E153" s="53"/>
      <c r="F153" s="53"/>
      <c r="G153" s="53"/>
      <c r="H153" s="54"/>
    </row>
    <row r="154" spans="2:9" x14ac:dyDescent="0.2">
      <c r="B154" s="53" t="s">
        <v>23</v>
      </c>
      <c r="C154" s="53"/>
      <c r="D154" s="54">
        <v>2012</v>
      </c>
      <c r="E154" s="54">
        <v>2020</v>
      </c>
      <c r="F154" s="53"/>
      <c r="G154" s="53"/>
      <c r="H154" s="53"/>
    </row>
    <row r="155" spans="2:9" x14ac:dyDescent="0.2">
      <c r="B155" s="53"/>
      <c r="C155" s="53"/>
      <c r="D155" s="53"/>
      <c r="E155" s="53"/>
      <c r="F155" s="53" t="s">
        <v>24</v>
      </c>
      <c r="G155" t="s">
        <v>197</v>
      </c>
      <c r="H155" s="53" t="s">
        <v>90</v>
      </c>
      <c r="I155" s="54"/>
    </row>
    <row r="156" spans="2:9" x14ac:dyDescent="0.2">
      <c r="B156" s="53" t="str">
        <f>B148</f>
        <v>plastic packaging</v>
      </c>
      <c r="C156" s="53"/>
      <c r="D156" s="55">
        <f t="shared" ref="D156:E158" si="41">100-D148</f>
        <v>65.6884749573113</v>
      </c>
      <c r="E156" s="55">
        <f t="shared" si="41"/>
        <v>65.6884749573113</v>
      </c>
      <c r="F156" s="55">
        <f>D156-E156</f>
        <v>0</v>
      </c>
      <c r="G156" s="55">
        <f>F156/D156*100</f>
        <v>0</v>
      </c>
      <c r="H156" s="175">
        <f>IF(G156&lt;0,0,F156)</f>
        <v>0</v>
      </c>
      <c r="I156" s="54" t="s">
        <v>2</v>
      </c>
    </row>
    <row r="157" spans="2:9" x14ac:dyDescent="0.2">
      <c r="B157" s="53" t="str">
        <f>B149</f>
        <v>glass packaging</v>
      </c>
      <c r="C157" s="53"/>
      <c r="D157" s="55">
        <f t="shared" si="41"/>
        <v>28.837410764576802</v>
      </c>
      <c r="E157" s="55">
        <f t="shared" si="41"/>
        <v>28.837410764576802</v>
      </c>
      <c r="F157" s="55">
        <f>D157-E157</f>
        <v>0</v>
      </c>
      <c r="G157" s="55">
        <f t="shared" ref="G157:G160" si="42">F157/D157*100</f>
        <v>0</v>
      </c>
      <c r="H157" s="176">
        <f t="shared" ref="H157:H160" si="43">IF(G157&lt;0,0,F157)</f>
        <v>0</v>
      </c>
      <c r="I157" s="54" t="s">
        <v>2</v>
      </c>
    </row>
    <row r="158" spans="2:9" x14ac:dyDescent="0.2">
      <c r="B158" s="53" t="str">
        <f>B150</f>
        <v>metal packaging</v>
      </c>
      <c r="C158" s="53"/>
      <c r="D158" s="55">
        <f t="shared" si="41"/>
        <v>27.722430723790865</v>
      </c>
      <c r="E158" s="55">
        <f t="shared" si="41"/>
        <v>27.722430723790865</v>
      </c>
      <c r="F158" s="55">
        <f>D158-E158</f>
        <v>0</v>
      </c>
      <c r="G158" s="55">
        <f t="shared" si="42"/>
        <v>0</v>
      </c>
      <c r="H158" s="176">
        <f t="shared" si="43"/>
        <v>0</v>
      </c>
      <c r="I158" s="54" t="s">
        <v>2</v>
      </c>
    </row>
    <row r="159" spans="2:9" x14ac:dyDescent="0.2">
      <c r="B159" s="53" t="str">
        <f t="shared" ref="B159:B160" si="44">B151</f>
        <v>paper packaging</v>
      </c>
      <c r="C159" s="53"/>
      <c r="D159" s="55">
        <f>100-D151</f>
        <v>17.043461920103539</v>
      </c>
      <c r="E159" s="55">
        <f t="shared" ref="E159:E160" si="45">100-E151</f>
        <v>17.043461920103539</v>
      </c>
      <c r="F159" s="55">
        <f>D159-E159</f>
        <v>0</v>
      </c>
      <c r="G159" s="55">
        <f t="shared" si="42"/>
        <v>0</v>
      </c>
      <c r="H159" s="176">
        <f t="shared" si="43"/>
        <v>0</v>
      </c>
      <c r="I159" s="54" t="s">
        <v>2</v>
      </c>
    </row>
    <row r="160" spans="2:9" x14ac:dyDescent="0.2">
      <c r="B160" s="53" t="str">
        <f t="shared" si="44"/>
        <v>wood packaging</v>
      </c>
      <c r="C160" s="53"/>
      <c r="D160" s="55">
        <f>100-D152</f>
        <v>62.312567469168634</v>
      </c>
      <c r="E160" s="55">
        <f t="shared" si="45"/>
        <v>62.312567469168634</v>
      </c>
      <c r="F160" s="55">
        <f>D160-E160</f>
        <v>0</v>
      </c>
      <c r="G160" s="55">
        <f t="shared" si="42"/>
        <v>0</v>
      </c>
      <c r="H160" s="177">
        <f t="shared" si="43"/>
        <v>0</v>
      </c>
      <c r="I160" s="54" t="s">
        <v>2</v>
      </c>
    </row>
    <row r="163" spans="1:55" x14ac:dyDescent="0.2">
      <c r="B163" s="84" t="s">
        <v>92</v>
      </c>
      <c r="C163" s="53"/>
    </row>
    <row r="164" spans="1:55" x14ac:dyDescent="0.2">
      <c r="B164" t="str">
        <f>'option 2 single calculation met'!B165</f>
        <v>as in option 1</v>
      </c>
    </row>
    <row r="165" spans="1:55" ht="14.25" x14ac:dyDescent="0.2">
      <c r="B165" s="12" t="s">
        <v>93</v>
      </c>
      <c r="C165" s="12" t="s">
        <v>69</v>
      </c>
      <c r="D165" s="12" t="s">
        <v>70</v>
      </c>
      <c r="E165" s="12" t="s">
        <v>73</v>
      </c>
    </row>
    <row r="166" spans="1:55" ht="14.25" x14ac:dyDescent="0.2">
      <c r="B166" s="14" t="s">
        <v>63</v>
      </c>
      <c r="C166" s="13">
        <f>'option 2 single calculation met'!C167</f>
        <v>219</v>
      </c>
      <c r="D166" s="14" t="s">
        <v>35</v>
      </c>
      <c r="E166" s="14" t="s">
        <v>34</v>
      </c>
      <c r="G166" s="20" t="s">
        <v>62</v>
      </c>
      <c r="H166" s="1">
        <f>C170/C172*100</f>
        <v>43.469327854417379</v>
      </c>
      <c r="I166" s="21" t="s">
        <v>2</v>
      </c>
    </row>
    <row r="167" spans="1:55" ht="14.25" x14ac:dyDescent="0.2">
      <c r="B167" s="14" t="s">
        <v>64</v>
      </c>
      <c r="C167" s="13">
        <f>'option 2 single calculation met'!C168</f>
        <v>1062</v>
      </c>
      <c r="D167" s="14" t="s">
        <v>35</v>
      </c>
      <c r="E167" s="14" t="s">
        <v>34</v>
      </c>
      <c r="G167" s="20" t="s">
        <v>63</v>
      </c>
      <c r="H167" s="1">
        <f>C166/C172*100</f>
        <v>2.1426474904608162</v>
      </c>
      <c r="I167" s="21" t="s">
        <v>2</v>
      </c>
    </row>
    <row r="168" spans="1:55" ht="14.25" x14ac:dyDescent="0.2">
      <c r="B168" s="14" t="s">
        <v>82</v>
      </c>
      <c r="C168" s="13">
        <f>'option 2 single calculation met'!C169</f>
        <v>1000</v>
      </c>
      <c r="D168" s="14" t="s">
        <v>35</v>
      </c>
      <c r="E168" s="14" t="s">
        <v>34</v>
      </c>
      <c r="G168" s="20" t="s">
        <v>76</v>
      </c>
      <c r="H168" s="1">
        <f>C167/C172*100</f>
        <v>10.390372761960668</v>
      </c>
      <c r="I168" s="21" t="s">
        <v>2</v>
      </c>
    </row>
    <row r="169" spans="1:55" ht="14.25" x14ac:dyDescent="0.2">
      <c r="B169" s="14" t="s">
        <v>65</v>
      </c>
      <c r="C169" s="13">
        <f>'option 2 single calculation met'!C170</f>
        <v>3268</v>
      </c>
      <c r="D169" s="14" t="s">
        <v>35</v>
      </c>
      <c r="E169" s="14" t="s">
        <v>34</v>
      </c>
      <c r="G169" s="21" t="s">
        <v>65</v>
      </c>
      <c r="H169" s="1">
        <f>C169/C172*100</f>
        <v>31.973388122492906</v>
      </c>
      <c r="I169" s="21" t="s">
        <v>2</v>
      </c>
    </row>
    <row r="170" spans="1:55" s="4" customFormat="1" ht="14.25" x14ac:dyDescent="0.2">
      <c r="A170"/>
      <c r="B170" s="14" t="s">
        <v>94</v>
      </c>
      <c r="C170" s="13">
        <f>'option 2 single calculation met'!C171</f>
        <v>4443</v>
      </c>
      <c r="D170" s="14" t="s">
        <v>35</v>
      </c>
      <c r="E170" s="14" t="s">
        <v>34</v>
      </c>
      <c r="F170"/>
      <c r="G170" s="21" t="s">
        <v>106</v>
      </c>
      <c r="H170" s="1">
        <f>C171/C172*100</f>
        <v>2.2404852754133646</v>
      </c>
      <c r="I170" s="21" t="s">
        <v>2</v>
      </c>
      <c r="J170"/>
      <c r="K170"/>
      <c r="L170"/>
      <c r="M170"/>
      <c r="N170"/>
      <c r="O170"/>
      <c r="P170"/>
      <c r="Q170"/>
      <c r="R170" s="1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</row>
    <row r="171" spans="1:55" ht="14.25" x14ac:dyDescent="0.2">
      <c r="B171" s="14" t="s">
        <v>106</v>
      </c>
      <c r="C171" s="13">
        <f>'option 2 single calculation met'!C172</f>
        <v>229</v>
      </c>
      <c r="D171" s="14" t="s">
        <v>35</v>
      </c>
      <c r="E171" s="14" t="s">
        <v>34</v>
      </c>
      <c r="G171" s="21" t="s">
        <v>82</v>
      </c>
      <c r="H171" s="1">
        <f>C168/C172*100</f>
        <v>9.7837784952548681</v>
      </c>
      <c r="I171" s="21" t="s">
        <v>2</v>
      </c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4.25" x14ac:dyDescent="0.2">
      <c r="A172" s="4"/>
      <c r="B172" s="22"/>
      <c r="C172" s="15">
        <f>SUM(C166:C171)</f>
        <v>10221</v>
      </c>
      <c r="D172" s="22"/>
      <c r="E172" s="22"/>
      <c r="F172" s="4"/>
      <c r="G172" s="4"/>
      <c r="H172" s="16">
        <f>SUM(H166:H171)</f>
        <v>100</v>
      </c>
      <c r="I172" s="4"/>
      <c r="J172" s="4"/>
      <c r="K172" s="4"/>
      <c r="L172" s="4"/>
      <c r="M172" s="4"/>
      <c r="N172" s="4"/>
      <c r="O172" s="4"/>
    </row>
    <row r="173" spans="1:55" ht="14.25" x14ac:dyDescent="0.2">
      <c r="B173" s="14" t="s">
        <v>63</v>
      </c>
      <c r="C173" s="13">
        <f>'option 2 single calculation met'!C174</f>
        <v>24</v>
      </c>
      <c r="D173" s="14" t="s">
        <v>36</v>
      </c>
      <c r="E173" s="14" t="s">
        <v>34</v>
      </c>
      <c r="G173" s="20" t="s">
        <v>62</v>
      </c>
      <c r="H173" s="1">
        <f>C177/C179*100</f>
        <v>40.438512869399432</v>
      </c>
      <c r="I173" s="21" t="s">
        <v>2</v>
      </c>
    </row>
    <row r="174" spans="1:55" ht="14.25" x14ac:dyDescent="0.2">
      <c r="B174" s="14" t="s">
        <v>64</v>
      </c>
      <c r="C174" s="13">
        <f>'option 2 single calculation met'!C175</f>
        <v>474</v>
      </c>
      <c r="D174" s="14" t="s">
        <v>36</v>
      </c>
      <c r="E174" s="14" t="s">
        <v>34</v>
      </c>
      <c r="G174" s="20" t="s">
        <v>63</v>
      </c>
      <c r="H174" s="1">
        <f>C173/C179*100</f>
        <v>0.45757864632983797</v>
      </c>
      <c r="I174" s="21" t="s">
        <v>2</v>
      </c>
    </row>
    <row r="175" spans="1:55" ht="14.25" x14ac:dyDescent="0.2">
      <c r="B175" s="14" t="s">
        <v>82</v>
      </c>
      <c r="C175" s="13">
        <f>'option 2 single calculation met'!C176</f>
        <v>171</v>
      </c>
      <c r="D175" s="14" t="s">
        <v>36</v>
      </c>
      <c r="E175" s="14" t="s">
        <v>34</v>
      </c>
      <c r="G175" s="20" t="s">
        <v>76</v>
      </c>
      <c r="H175" s="1">
        <f>C174/C179*100</f>
        <v>9.0371782650142993</v>
      </c>
      <c r="I175" s="21" t="s">
        <v>2</v>
      </c>
      <c r="W175" s="4"/>
      <c r="X175" s="4"/>
    </row>
    <row r="176" spans="1:55" ht="14.25" x14ac:dyDescent="0.2">
      <c r="B176" s="14" t="s">
        <v>65</v>
      </c>
      <c r="C176" s="13">
        <f>'option 2 single calculation met'!C177</f>
        <v>2386</v>
      </c>
      <c r="D176" s="14" t="s">
        <v>36</v>
      </c>
      <c r="E176" s="14" t="s">
        <v>34</v>
      </c>
      <c r="G176" s="21" t="s">
        <v>65</v>
      </c>
      <c r="H176" s="1">
        <f>C176/C179*100</f>
        <v>45.490943755958057</v>
      </c>
      <c r="I176" s="21" t="s">
        <v>2</v>
      </c>
      <c r="U176" s="4"/>
      <c r="V176" s="4"/>
    </row>
    <row r="177" spans="1:55" s="4" customFormat="1" ht="14.25" x14ac:dyDescent="0.2">
      <c r="A177"/>
      <c r="B177" s="14" t="s">
        <v>94</v>
      </c>
      <c r="C177" s="13">
        <f>'option 2 single calculation met'!C178</f>
        <v>2121</v>
      </c>
      <c r="D177" s="14" t="s">
        <v>36</v>
      </c>
      <c r="E177" s="14" t="s">
        <v>34</v>
      </c>
      <c r="F177"/>
      <c r="G177" s="21" t="s">
        <v>106</v>
      </c>
      <c r="H177" s="1">
        <f>C178/C179*100</f>
        <v>1.3155386081982841</v>
      </c>
      <c r="I177" s="21" t="s">
        <v>2</v>
      </c>
      <c r="J177"/>
      <c r="K177"/>
      <c r="L177"/>
      <c r="M177"/>
      <c r="N177"/>
      <c r="O177"/>
      <c r="R177" s="16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</row>
    <row r="178" spans="1:55" ht="14.25" x14ac:dyDescent="0.2">
      <c r="B178" s="14" t="s">
        <v>106</v>
      </c>
      <c r="C178" s="13">
        <f>'option 2 single calculation met'!C179</f>
        <v>69</v>
      </c>
      <c r="D178" s="14" t="s">
        <v>36</v>
      </c>
      <c r="E178" s="14" t="s">
        <v>34</v>
      </c>
      <c r="G178" s="21" t="s">
        <v>82</v>
      </c>
      <c r="H178" s="1">
        <f>C175/C179*100</f>
        <v>3.2602478551000948</v>
      </c>
      <c r="I178" s="21" t="s">
        <v>2</v>
      </c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ht="14.25" x14ac:dyDescent="0.2">
      <c r="A179" s="4"/>
      <c r="B179" s="22"/>
      <c r="C179" s="15">
        <f>SUM(C173:C178)</f>
        <v>5245</v>
      </c>
      <c r="D179" s="22"/>
      <c r="E179" s="22"/>
      <c r="F179" s="4"/>
      <c r="G179" s="4"/>
      <c r="H179" s="16">
        <f>SUM(H173:H178)</f>
        <v>99.999999999999986</v>
      </c>
      <c r="I179" s="4"/>
      <c r="J179" s="4"/>
      <c r="K179" s="4"/>
      <c r="L179" s="4"/>
      <c r="M179" s="4"/>
      <c r="N179" s="4"/>
      <c r="O179" s="4"/>
    </row>
    <row r="180" spans="1:55" ht="14.25" x14ac:dyDescent="0.2">
      <c r="B180" s="14" t="s">
        <v>63</v>
      </c>
      <c r="C180" s="13">
        <f>'option 2 single calculation met'!C181</f>
        <v>923</v>
      </c>
      <c r="D180" s="14" t="s">
        <v>37</v>
      </c>
      <c r="E180" s="14" t="s">
        <v>34</v>
      </c>
      <c r="G180" s="20" t="s">
        <v>62</v>
      </c>
      <c r="H180" s="1">
        <f>C184/C186*100</f>
        <v>61.523569023569024</v>
      </c>
      <c r="I180" s="21" t="s">
        <v>2</v>
      </c>
    </row>
    <row r="181" spans="1:55" ht="14.25" x14ac:dyDescent="0.2">
      <c r="B181" s="14" t="s">
        <v>64</v>
      </c>
      <c r="C181" s="13">
        <f>'option 2 single calculation met'!C182</f>
        <v>523</v>
      </c>
      <c r="D181" s="14" t="s">
        <v>37</v>
      </c>
      <c r="E181" s="14" t="s">
        <v>34</v>
      </c>
      <c r="G181" s="20" t="s">
        <v>63</v>
      </c>
      <c r="H181" s="1">
        <f>C180/C186*100</f>
        <v>3.8846801346801345</v>
      </c>
      <c r="I181" s="21" t="s">
        <v>2</v>
      </c>
    </row>
    <row r="182" spans="1:55" ht="14.25" x14ac:dyDescent="0.2">
      <c r="B182" s="14" t="s">
        <v>82</v>
      </c>
      <c r="C182" s="13">
        <f>'option 2 single calculation met'!C183</f>
        <v>2092</v>
      </c>
      <c r="D182" s="14" t="s">
        <v>37</v>
      </c>
      <c r="E182" s="14" t="s">
        <v>34</v>
      </c>
      <c r="G182" s="20" t="s">
        <v>76</v>
      </c>
      <c r="H182" s="1">
        <f>C181/C186*100</f>
        <v>2.2011784511784511</v>
      </c>
      <c r="I182" s="21" t="s">
        <v>2</v>
      </c>
      <c r="W182" s="4"/>
      <c r="X182" s="4"/>
    </row>
    <row r="183" spans="1:55" ht="14.25" x14ac:dyDescent="0.2">
      <c r="B183" s="14" t="s">
        <v>65</v>
      </c>
      <c r="C183" s="13">
        <f>'option 2 single calculation met'!C184</f>
        <v>5566</v>
      </c>
      <c r="D183" s="14" t="s">
        <v>37</v>
      </c>
      <c r="E183" s="14" t="s">
        <v>34</v>
      </c>
      <c r="G183" s="21" t="s">
        <v>65</v>
      </c>
      <c r="H183" s="1">
        <f>C183/C186*100</f>
        <v>23.425925925925924</v>
      </c>
      <c r="I183" s="21" t="s">
        <v>2</v>
      </c>
      <c r="U183" s="4"/>
      <c r="V183" s="4"/>
    </row>
    <row r="184" spans="1:55" s="4" customFormat="1" ht="14.25" x14ac:dyDescent="0.2">
      <c r="A184"/>
      <c r="B184" s="14" t="s">
        <v>94</v>
      </c>
      <c r="C184" s="13">
        <f>'option 2 single calculation met'!C185</f>
        <v>14618</v>
      </c>
      <c r="D184" s="14" t="s">
        <v>37</v>
      </c>
      <c r="E184" s="14" t="s">
        <v>34</v>
      </c>
      <c r="F184"/>
      <c r="G184" s="21" t="s">
        <v>106</v>
      </c>
      <c r="H184" s="1">
        <f>C185/C186*100</f>
        <v>0.15993265993265993</v>
      </c>
      <c r="I184" s="21" t="s">
        <v>2</v>
      </c>
      <c r="J184"/>
      <c r="K184"/>
      <c r="L184"/>
      <c r="M184"/>
      <c r="N184"/>
      <c r="O184"/>
      <c r="R184" s="16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</row>
    <row r="185" spans="1:55" ht="14.25" x14ac:dyDescent="0.2">
      <c r="B185" s="14" t="s">
        <v>106</v>
      </c>
      <c r="C185" s="13">
        <f>'option 2 single calculation met'!C186</f>
        <v>38</v>
      </c>
      <c r="D185" s="14" t="s">
        <v>37</v>
      </c>
      <c r="E185" s="14" t="s">
        <v>34</v>
      </c>
      <c r="G185" s="21" t="s">
        <v>82</v>
      </c>
      <c r="H185" s="1">
        <f>C182/C186*100</f>
        <v>8.8047138047138045</v>
      </c>
      <c r="I185" s="21" t="s">
        <v>2</v>
      </c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55" ht="14.25" x14ac:dyDescent="0.2">
      <c r="A186" s="4"/>
      <c r="B186" s="22"/>
      <c r="C186" s="15">
        <f>SUM(C180:C185)</f>
        <v>23760</v>
      </c>
      <c r="D186" s="22"/>
      <c r="E186" s="22"/>
      <c r="F186" s="4"/>
      <c r="G186" s="4"/>
      <c r="H186" s="16">
        <f>SUM(H180:H185)</f>
        <v>100</v>
      </c>
      <c r="I186" s="4"/>
      <c r="J186" s="4"/>
      <c r="K186" s="4"/>
      <c r="L186" s="4"/>
      <c r="M186" s="4"/>
      <c r="N186" s="4"/>
      <c r="O186" s="4"/>
    </row>
    <row r="187" spans="1:55" ht="14.25" x14ac:dyDescent="0.2">
      <c r="B187" s="14" t="s">
        <v>63</v>
      </c>
      <c r="C187" s="13">
        <f>'option 2 single calculation met'!C188</f>
        <v>171</v>
      </c>
      <c r="D187" s="14" t="s">
        <v>31</v>
      </c>
      <c r="E187" s="14" t="s">
        <v>34</v>
      </c>
      <c r="G187" s="20" t="s">
        <v>62</v>
      </c>
      <c r="H187" s="1">
        <f>C191/C193*100</f>
        <v>66.364394413174892</v>
      </c>
      <c r="I187" s="21" t="s">
        <v>2</v>
      </c>
    </row>
    <row r="188" spans="1:55" ht="14.25" x14ac:dyDescent="0.2">
      <c r="B188" s="14" t="s">
        <v>64</v>
      </c>
      <c r="C188" s="13">
        <f>'option 2 single calculation met'!C189</f>
        <v>726</v>
      </c>
      <c r="D188" s="14" t="s">
        <v>31</v>
      </c>
      <c r="E188" s="14" t="s">
        <v>34</v>
      </c>
      <c r="G188" s="20" t="s">
        <v>63</v>
      </c>
      <c r="H188" s="1">
        <f>C187/C193*100</f>
        <v>0.59412132582864297</v>
      </c>
      <c r="I188" s="21" t="s">
        <v>2</v>
      </c>
    </row>
    <row r="189" spans="1:55" ht="14.25" x14ac:dyDescent="0.2">
      <c r="B189" s="14" t="s">
        <v>82</v>
      </c>
      <c r="C189" s="13">
        <f>'option 2 single calculation met'!C190</f>
        <v>6380</v>
      </c>
      <c r="D189" s="14" t="s">
        <v>31</v>
      </c>
      <c r="E189" s="14" t="s">
        <v>34</v>
      </c>
      <c r="G189" s="20" t="s">
        <v>76</v>
      </c>
      <c r="H189" s="1">
        <f>C188/C193*100</f>
        <v>2.5224098394830103</v>
      </c>
      <c r="I189" s="21" t="s">
        <v>2</v>
      </c>
      <c r="W189" s="4"/>
      <c r="X189" s="4"/>
    </row>
    <row r="190" spans="1:55" ht="14.25" x14ac:dyDescent="0.2">
      <c r="B190" s="14" t="s">
        <v>65</v>
      </c>
      <c r="C190" s="13">
        <f>'option 2 single calculation met'!C191</f>
        <v>2092</v>
      </c>
      <c r="D190" s="14" t="s">
        <v>31</v>
      </c>
      <c r="E190" s="14" t="s">
        <v>34</v>
      </c>
      <c r="G190" s="21" t="s">
        <v>65</v>
      </c>
      <c r="H190" s="1">
        <f>C190/C193*100</f>
        <v>7.2684316586755617</v>
      </c>
      <c r="I190" s="21" t="s">
        <v>2</v>
      </c>
      <c r="U190" s="4"/>
      <c r="V190" s="4"/>
    </row>
    <row r="191" spans="1:55" s="4" customFormat="1" ht="14.25" x14ac:dyDescent="0.2">
      <c r="A191"/>
      <c r="B191" s="14" t="s">
        <v>94</v>
      </c>
      <c r="C191" s="13">
        <f>'option 2 single calculation met'!C192</f>
        <v>19101</v>
      </c>
      <c r="D191" s="14" t="s">
        <v>31</v>
      </c>
      <c r="E191" s="14" t="s">
        <v>34</v>
      </c>
      <c r="F191"/>
      <c r="G191" s="21" t="s">
        <v>106</v>
      </c>
      <c r="H191" s="1">
        <f>C192/C193*100</f>
        <v>1.084010840108401</v>
      </c>
      <c r="I191" s="21" t="s">
        <v>2</v>
      </c>
      <c r="J191"/>
      <c r="K191"/>
      <c r="L191"/>
      <c r="M191"/>
      <c r="N191"/>
      <c r="O191"/>
      <c r="R191" s="16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</row>
    <row r="192" spans="1:55" ht="14.25" x14ac:dyDescent="0.2">
      <c r="B192" s="21" t="s">
        <v>106</v>
      </c>
      <c r="C192" s="13">
        <f>'option 2 single calculation met'!C193</f>
        <v>312</v>
      </c>
      <c r="D192" s="21" t="s">
        <v>31</v>
      </c>
      <c r="E192" s="21" t="s">
        <v>34</v>
      </c>
      <c r="G192" s="21" t="s">
        <v>82</v>
      </c>
      <c r="H192" s="1">
        <f>C189/C193*100</f>
        <v>22.166631922729486</v>
      </c>
      <c r="I192" s="21" t="s">
        <v>2</v>
      </c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1:24" ht="14.25" x14ac:dyDescent="0.2">
      <c r="A193" s="4"/>
      <c r="B193" s="4"/>
      <c r="C193" s="15">
        <f>SUM(C187:C192)</f>
        <v>28782</v>
      </c>
      <c r="D193" s="4"/>
      <c r="E193" s="4"/>
      <c r="F193" s="4"/>
      <c r="G193" s="4"/>
      <c r="H193" s="16">
        <f>SUM(H187:H192)</f>
        <v>100</v>
      </c>
      <c r="I193" s="4"/>
      <c r="J193" s="4"/>
      <c r="K193" s="4"/>
      <c r="L193" s="4"/>
      <c r="M193" s="4"/>
      <c r="N193" s="4"/>
      <c r="O193" s="4"/>
    </row>
    <row r="195" spans="1:24" x14ac:dyDescent="0.2">
      <c r="F195" t="s">
        <v>13</v>
      </c>
      <c r="G195" t="s">
        <v>62</v>
      </c>
      <c r="H195" s="175">
        <f>'option 2 single calculation met'!H196</f>
        <v>61.076597781504347</v>
      </c>
      <c r="I195" t="s">
        <v>2</v>
      </c>
    </row>
    <row r="196" spans="1:24" x14ac:dyDescent="0.2">
      <c r="G196" t="s">
        <v>63</v>
      </c>
      <c r="H196" s="176">
        <f>'option 2 single calculation met'!H197</f>
        <v>2.9535731425166882</v>
      </c>
      <c r="I196" t="s">
        <v>2</v>
      </c>
      <c r="W196" s="4"/>
      <c r="X196" s="4"/>
    </row>
    <row r="197" spans="1:24" x14ac:dyDescent="0.2">
      <c r="G197" t="s">
        <v>76</v>
      </c>
      <c r="H197" s="176">
        <f>'option 2 single calculation met'!H198</f>
        <v>2.895569760355964</v>
      </c>
      <c r="I197" t="s">
        <v>2</v>
      </c>
      <c r="U197" s="4"/>
      <c r="V197" s="4"/>
    </row>
    <row r="198" spans="1:24" x14ac:dyDescent="0.2">
      <c r="G198" t="s">
        <v>65</v>
      </c>
      <c r="H198" s="176">
        <f>'option 2 single calculation met'!H199</f>
        <v>20.846115369684046</v>
      </c>
      <c r="I198" t="s">
        <v>2</v>
      </c>
      <c r="P198" s="4"/>
      <c r="Q198" s="4"/>
      <c r="R198" s="16"/>
      <c r="S198" s="4"/>
      <c r="T198" s="4"/>
    </row>
    <row r="199" spans="1:24" x14ac:dyDescent="0.2">
      <c r="G199" t="s">
        <v>106</v>
      </c>
      <c r="H199" s="176">
        <f>'option 2 single calculation met'!H200</f>
        <v>0.51026444835174956</v>
      </c>
      <c r="I199" t="s">
        <v>2</v>
      </c>
    </row>
    <row r="200" spans="1:24" x14ac:dyDescent="0.2">
      <c r="G200" t="s">
        <v>82</v>
      </c>
      <c r="H200" s="177">
        <f>'option 2 single calculation met'!H201</f>
        <v>11.717879497587189</v>
      </c>
      <c r="I200" t="s">
        <v>2</v>
      </c>
    </row>
    <row r="202" spans="1:24" x14ac:dyDescent="0.2">
      <c r="H202" s="1">
        <f>SUM(H195:H200)</f>
        <v>99.999999999999986</v>
      </c>
    </row>
  </sheetData>
  <mergeCells count="8">
    <mergeCell ref="AS5:AT5"/>
    <mergeCell ref="E49:H49"/>
    <mergeCell ref="I49:L49"/>
    <mergeCell ref="M49:P49"/>
    <mergeCell ref="Y5:Z5"/>
    <mergeCell ref="G25:G29"/>
    <mergeCell ref="H28:K28"/>
    <mergeCell ref="AI5:AJ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D87"/>
  </sheetPr>
  <dimension ref="A2:AW222"/>
  <sheetViews>
    <sheetView topLeftCell="Z28" workbookViewId="0">
      <selection activeCell="AI59" sqref="AI59"/>
    </sheetView>
  </sheetViews>
  <sheetFormatPr defaultRowHeight="12.75" x14ac:dyDescent="0.2"/>
  <cols>
    <col min="2" max="2" width="17.5703125" customWidth="1"/>
    <col min="4" max="4" width="24" customWidth="1"/>
    <col min="5" max="5" width="13.28515625" customWidth="1"/>
    <col min="6" max="6" width="14.28515625" customWidth="1"/>
    <col min="8" max="8" width="9.140625" style="1"/>
    <col min="10" max="10" width="10.85546875" customWidth="1"/>
    <col min="14" max="14" width="10.140625" customWidth="1"/>
    <col min="17" max="17" width="11.42578125" customWidth="1"/>
    <col min="18" max="18" width="10.7109375" style="1" customWidth="1"/>
    <col min="19" max="19" width="24.85546875" customWidth="1"/>
    <col min="21" max="21" width="14.85546875" bestFit="1" customWidth="1"/>
    <col min="24" max="24" width="12.140625" bestFit="1" customWidth="1"/>
    <col min="26" max="26" width="2.7109375" bestFit="1" customWidth="1"/>
    <col min="27" max="27" width="9.42578125" customWidth="1"/>
    <col min="29" max="29" width="23.7109375" customWidth="1"/>
    <col min="31" max="31" width="14.85546875" bestFit="1" customWidth="1"/>
    <col min="34" max="34" width="12.140625" bestFit="1" customWidth="1"/>
    <col min="35" max="35" width="8.140625" bestFit="1" customWidth="1"/>
    <col min="36" max="36" width="2.7109375" bestFit="1" customWidth="1"/>
    <col min="37" max="37" width="8.85546875" customWidth="1"/>
    <col min="39" max="39" width="24.42578125" customWidth="1"/>
    <col min="41" max="41" width="14.85546875" bestFit="1" customWidth="1"/>
    <col min="44" max="44" width="12.140625" bestFit="1" customWidth="1"/>
    <col min="45" max="45" width="8.140625" bestFit="1" customWidth="1"/>
    <col min="46" max="46" width="2.7109375" bestFit="1" customWidth="1"/>
  </cols>
  <sheetData>
    <row r="2" spans="2:46" x14ac:dyDescent="0.2">
      <c r="E2" s="53"/>
      <c r="F2" s="53"/>
      <c r="G2" s="53"/>
    </row>
    <row r="3" spans="2:46" ht="20.25" x14ac:dyDescent="0.3">
      <c r="B3" s="23" t="s">
        <v>102</v>
      </c>
      <c r="C3" s="23"/>
      <c r="D3" s="23"/>
      <c r="L3" s="24" t="s">
        <v>103</v>
      </c>
      <c r="R3" s="23" t="s">
        <v>15</v>
      </c>
      <c r="T3" s="1"/>
    </row>
    <row r="4" spans="2:46" x14ac:dyDescent="0.2">
      <c r="R4"/>
      <c r="T4" s="1"/>
    </row>
    <row r="5" spans="2:46" x14ac:dyDescent="0.2">
      <c r="R5" s="25">
        <v>2020</v>
      </c>
      <c r="S5" s="25"/>
      <c r="T5" s="26"/>
      <c r="U5" s="25"/>
      <c r="V5" s="25"/>
      <c r="W5" s="25"/>
      <c r="X5" s="306" t="s">
        <v>95</v>
      </c>
      <c r="Y5" s="306"/>
      <c r="Z5" s="25"/>
      <c r="AB5" s="25">
        <v>2025</v>
      </c>
      <c r="AC5" s="25"/>
      <c r="AD5" s="26"/>
      <c r="AE5" s="25"/>
      <c r="AF5" s="25"/>
      <c r="AG5" s="25"/>
      <c r="AH5" s="306" t="s">
        <v>95</v>
      </c>
      <c r="AI5" s="306"/>
      <c r="AJ5" s="25"/>
      <c r="AL5" s="25">
        <v>2030</v>
      </c>
      <c r="AM5" s="25"/>
      <c r="AN5" s="26"/>
      <c r="AO5" s="25"/>
      <c r="AP5" s="25"/>
      <c r="AQ5" s="25"/>
      <c r="AR5" s="306" t="s">
        <v>95</v>
      </c>
      <c r="AS5" s="306"/>
      <c r="AT5" s="25"/>
    </row>
    <row r="6" spans="2:46" x14ac:dyDescent="0.2">
      <c r="B6" s="84" t="s">
        <v>0</v>
      </c>
      <c r="C6" s="1"/>
      <c r="E6" s="54"/>
      <c r="J6" s="2"/>
      <c r="R6" s="25"/>
      <c r="S6" s="25"/>
      <c r="T6" s="26"/>
      <c r="U6" s="25"/>
      <c r="V6" s="25"/>
      <c r="W6" s="25"/>
      <c r="X6" s="26"/>
      <c r="Y6" s="25"/>
      <c r="Z6" s="25"/>
      <c r="AB6" s="25"/>
      <c r="AC6" s="25"/>
      <c r="AD6" s="26"/>
      <c r="AE6" s="25"/>
      <c r="AF6" s="25"/>
      <c r="AG6" s="25"/>
      <c r="AH6" s="26"/>
      <c r="AI6" s="25"/>
      <c r="AJ6" s="25"/>
      <c r="AL6" s="25"/>
      <c r="AM6" s="25"/>
      <c r="AN6" s="26"/>
      <c r="AO6" s="25"/>
      <c r="AP6" s="25"/>
      <c r="AQ6" s="25"/>
      <c r="AR6" s="26"/>
      <c r="AS6" s="25"/>
      <c r="AT6" s="25"/>
    </row>
    <row r="7" spans="2:46" x14ac:dyDescent="0.2">
      <c r="B7" t="str">
        <f>'option 3.1 higher MSW recycling'!B7</f>
        <v>as in BAU</v>
      </c>
      <c r="R7" s="25"/>
      <c r="S7" s="27" t="s">
        <v>16</v>
      </c>
      <c r="T7" s="26">
        <v>100</v>
      </c>
      <c r="U7" s="25"/>
      <c r="V7" s="25"/>
      <c r="W7" s="25"/>
      <c r="X7" s="25"/>
      <c r="Y7" s="25"/>
      <c r="Z7" s="25"/>
      <c r="AB7" s="25"/>
      <c r="AC7" s="27" t="s">
        <v>16</v>
      </c>
      <c r="AD7" s="26">
        <v>100</v>
      </c>
      <c r="AE7" s="25"/>
      <c r="AF7" s="25"/>
      <c r="AG7" s="25"/>
      <c r="AH7" s="25"/>
      <c r="AI7" s="25"/>
      <c r="AJ7" s="25"/>
      <c r="AL7" s="25"/>
      <c r="AM7" s="27" t="s">
        <v>16</v>
      </c>
      <c r="AN7" s="26">
        <v>100</v>
      </c>
      <c r="AO7" s="25"/>
      <c r="AP7" s="25"/>
      <c r="AQ7" s="25"/>
      <c r="AR7" s="25"/>
      <c r="AS7" s="25"/>
      <c r="AT7" s="25"/>
    </row>
    <row r="8" spans="2:46" x14ac:dyDescent="0.2">
      <c r="B8" t="str">
        <f>'option 3.1 higher MSW recycling'!B8</f>
        <v>increase 2015-2020</v>
      </c>
      <c r="C8" s="2">
        <f>'option 3.1 higher MSW recycling'!C8</f>
        <v>2.8975042901448815</v>
      </c>
      <c r="D8" t="s">
        <v>2</v>
      </c>
      <c r="H8"/>
      <c r="R8" s="27"/>
      <c r="S8" s="27" t="s">
        <v>17</v>
      </c>
      <c r="T8" s="28">
        <f>T7*C25</f>
        <v>78.366280390281759</v>
      </c>
      <c r="U8" s="25"/>
      <c r="V8" s="25"/>
      <c r="W8" s="25"/>
      <c r="X8" s="25"/>
      <c r="Y8" s="25"/>
      <c r="Z8" s="25"/>
      <c r="AB8" s="27"/>
      <c r="AC8" s="27" t="s">
        <v>17</v>
      </c>
      <c r="AD8" s="28">
        <f>AD7*C25</f>
        <v>78.366280390281759</v>
      </c>
      <c r="AE8" s="25"/>
      <c r="AF8" s="25"/>
      <c r="AG8" s="25"/>
      <c r="AH8" s="25"/>
      <c r="AI8" s="25"/>
      <c r="AJ8" s="25"/>
      <c r="AL8" s="27"/>
      <c r="AM8" s="27" t="s">
        <v>17</v>
      </c>
      <c r="AN8" s="28">
        <f>AN7*C25</f>
        <v>78.366280390281759</v>
      </c>
      <c r="AO8" s="25"/>
      <c r="AP8" s="25"/>
      <c r="AQ8" s="25"/>
      <c r="AR8" s="25"/>
      <c r="AS8" s="25"/>
      <c r="AT8" s="25"/>
    </row>
    <row r="9" spans="2:46" x14ac:dyDescent="0.2">
      <c r="B9" t="str">
        <f>'option 3.1 higher MSW recycling'!B9</f>
        <v>increase 2015-2025</v>
      </c>
      <c r="C9" s="2">
        <f>'option 3.1 higher MSW recycling'!C9</f>
        <v>5.1828712412524975</v>
      </c>
      <c r="D9" t="s">
        <v>2</v>
      </c>
      <c r="E9" s="1"/>
      <c r="F9" s="1"/>
      <c r="G9" s="1"/>
      <c r="I9" s="1"/>
      <c r="J9" s="1"/>
      <c r="K9" s="1"/>
      <c r="R9" s="27"/>
      <c r="S9" s="27" t="s">
        <v>19</v>
      </c>
      <c r="T9" s="28">
        <f>T7*C26</f>
        <v>21.633719609718238</v>
      </c>
      <c r="U9" s="25"/>
      <c r="V9" s="25"/>
      <c r="W9" s="25"/>
      <c r="X9" s="26"/>
      <c r="Y9" s="25"/>
      <c r="Z9" s="25"/>
      <c r="AB9" s="27"/>
      <c r="AC9" s="27" t="s">
        <v>19</v>
      </c>
      <c r="AD9" s="28">
        <f>AD7*C26</f>
        <v>21.633719609718238</v>
      </c>
      <c r="AE9" s="25"/>
      <c r="AF9" s="25"/>
      <c r="AG9" s="25"/>
      <c r="AH9" s="26"/>
      <c r="AI9" s="25"/>
      <c r="AJ9" s="25"/>
      <c r="AL9" s="27"/>
      <c r="AM9" s="27" t="s">
        <v>19</v>
      </c>
      <c r="AN9" s="28">
        <f>AN7*C26</f>
        <v>21.633719609718238</v>
      </c>
      <c r="AO9" s="25"/>
      <c r="AP9" s="25"/>
      <c r="AQ9" s="25"/>
      <c r="AR9" s="26"/>
      <c r="AS9" s="25"/>
      <c r="AT9" s="25"/>
    </row>
    <row r="10" spans="2:46" x14ac:dyDescent="0.2">
      <c r="B10" t="str">
        <f>'option 3.1 higher MSW recycling'!B10</f>
        <v>increase 2015-2030</v>
      </c>
      <c r="C10" s="2">
        <f>'option 3.1 higher MSW recycling'!C10</f>
        <v>6.7064492086575767</v>
      </c>
      <c r="D10" t="s">
        <v>2</v>
      </c>
      <c r="R10" s="25"/>
      <c r="S10" s="25"/>
      <c r="T10" s="26"/>
      <c r="U10" s="25"/>
      <c r="V10" s="25"/>
      <c r="W10" s="25"/>
      <c r="X10" s="26"/>
      <c r="Y10" s="25"/>
      <c r="Z10" s="25"/>
      <c r="AB10" s="25"/>
      <c r="AC10" s="25"/>
      <c r="AD10" s="26"/>
      <c r="AE10" s="25"/>
      <c r="AF10" s="25"/>
      <c r="AG10" s="25"/>
      <c r="AH10" s="26"/>
      <c r="AI10" s="25"/>
      <c r="AJ10" s="25"/>
      <c r="AL10" s="25"/>
      <c r="AM10" s="25"/>
      <c r="AN10" s="26"/>
      <c r="AO10" s="25"/>
      <c r="AP10" s="25"/>
      <c r="AQ10" s="25"/>
      <c r="AR10" s="26"/>
      <c r="AS10" s="25"/>
      <c r="AT10" s="25"/>
    </row>
    <row r="11" spans="2:46" x14ac:dyDescent="0.2">
      <c r="R11" s="25"/>
      <c r="S11" s="27" t="s">
        <v>18</v>
      </c>
      <c r="T11" s="28">
        <f>T8+T8*C8/100</f>
        <v>80.63694672661714</v>
      </c>
      <c r="U11" s="27"/>
      <c r="V11" s="26"/>
      <c r="W11" s="25"/>
      <c r="X11" s="25"/>
      <c r="Y11" s="25"/>
      <c r="Z11" s="25"/>
      <c r="AB11" s="25"/>
      <c r="AC11" s="27" t="s">
        <v>171</v>
      </c>
      <c r="AD11" s="28">
        <f>AD8+AD8*C9/100</f>
        <v>82.427903799468965</v>
      </c>
      <c r="AE11" s="27"/>
      <c r="AF11" s="26"/>
      <c r="AG11" s="25"/>
      <c r="AH11" s="25"/>
      <c r="AI11" s="25"/>
      <c r="AJ11" s="25"/>
      <c r="AL11" s="25"/>
      <c r="AM11" s="27" t="s">
        <v>146</v>
      </c>
      <c r="AN11" s="28">
        <f>AN8+AN8*C10/100</f>
        <v>83.621875181370186</v>
      </c>
      <c r="AO11" s="27"/>
      <c r="AP11" s="26"/>
      <c r="AQ11" s="25"/>
      <c r="AR11" s="25"/>
      <c r="AS11" s="25"/>
      <c r="AT11" s="25"/>
    </row>
    <row r="12" spans="2:46" x14ac:dyDescent="0.2">
      <c r="H12" s="2"/>
      <c r="R12" s="25"/>
      <c r="S12" s="27" t="s">
        <v>20</v>
      </c>
      <c r="T12" s="28">
        <f>T9+T9*C16/100</f>
        <v>23.761096188566889</v>
      </c>
      <c r="U12" s="27"/>
      <c r="V12" s="26"/>
      <c r="W12" s="25"/>
      <c r="X12" s="25"/>
      <c r="Y12" s="25"/>
      <c r="Z12" s="25"/>
      <c r="AB12" s="25"/>
      <c r="AC12" s="27" t="s">
        <v>172</v>
      </c>
      <c r="AD12" s="28">
        <f>AD9+AD9*C17/100</f>
        <v>26.097670778200566</v>
      </c>
      <c r="AE12" s="27"/>
      <c r="AF12" s="26"/>
      <c r="AG12" s="25"/>
      <c r="AH12" s="25"/>
      <c r="AI12" s="25"/>
      <c r="AJ12" s="25"/>
      <c r="AL12" s="25"/>
      <c r="AM12" s="27" t="s">
        <v>147</v>
      </c>
      <c r="AN12" s="28">
        <f>AN9+AN9*C18/100</f>
        <v>28.664015104448865</v>
      </c>
      <c r="AO12" s="27"/>
      <c r="AP12" s="26"/>
      <c r="AQ12" s="25"/>
      <c r="AR12" s="25"/>
      <c r="AS12" s="25"/>
      <c r="AT12" s="25"/>
    </row>
    <row r="13" spans="2:46" x14ac:dyDescent="0.2">
      <c r="R13" s="25"/>
      <c r="S13" s="27" t="s">
        <v>98</v>
      </c>
      <c r="T13" s="28">
        <f>SUM(T11:T12)</f>
        <v>104.39804291518402</v>
      </c>
      <c r="U13" s="27"/>
      <c r="V13" s="26"/>
      <c r="W13" s="25"/>
      <c r="X13" s="26"/>
      <c r="Y13" s="25"/>
      <c r="Z13" s="25"/>
      <c r="AB13" s="25"/>
      <c r="AC13" s="27" t="s">
        <v>173</v>
      </c>
      <c r="AD13" s="28">
        <f>SUM(AD11:AD12)</f>
        <v>108.52557457766953</v>
      </c>
      <c r="AE13" s="27"/>
      <c r="AF13" s="26"/>
      <c r="AG13" s="25"/>
      <c r="AH13" s="26"/>
      <c r="AI13" s="25"/>
      <c r="AJ13" s="25"/>
      <c r="AL13" s="25"/>
      <c r="AM13" s="27" t="s">
        <v>150</v>
      </c>
      <c r="AN13" s="28">
        <f>SUM(AN11:AN12)</f>
        <v>112.28589028581905</v>
      </c>
      <c r="AO13" s="27"/>
      <c r="AP13" s="26"/>
      <c r="AQ13" s="25"/>
      <c r="AR13" s="26"/>
      <c r="AS13" s="25"/>
      <c r="AT13" s="25"/>
    </row>
    <row r="14" spans="2:46" x14ac:dyDescent="0.2">
      <c r="B14" s="84" t="s">
        <v>5</v>
      </c>
      <c r="C14" s="53"/>
      <c r="R14" s="25"/>
      <c r="S14" s="27"/>
      <c r="T14" s="26"/>
      <c r="U14" s="27"/>
      <c r="V14" s="25"/>
      <c r="W14" s="25"/>
      <c r="X14" s="25"/>
      <c r="Y14" s="25"/>
      <c r="Z14" s="25"/>
      <c r="AB14" s="25"/>
      <c r="AC14" s="27"/>
      <c r="AD14" s="26"/>
      <c r="AE14" s="27"/>
      <c r="AF14" s="25"/>
      <c r="AG14" s="25"/>
      <c r="AH14" s="25"/>
      <c r="AI14" s="25"/>
      <c r="AJ14" s="25"/>
      <c r="AL14" s="25"/>
      <c r="AM14" s="27"/>
      <c r="AN14" s="26"/>
      <c r="AO14" s="27"/>
      <c r="AP14" s="25"/>
      <c r="AQ14" s="25"/>
      <c r="AR14" s="25"/>
      <c r="AS14" s="25"/>
      <c r="AT14" s="25"/>
    </row>
    <row r="15" spans="2:46" x14ac:dyDescent="0.2">
      <c r="B15" t="str">
        <f>'option 3.1 higher MSW recycling'!B15</f>
        <v>as in BAU</v>
      </c>
      <c r="R15" s="25"/>
      <c r="S15" s="27" t="s">
        <v>48</v>
      </c>
      <c r="T15" s="28">
        <f>T11*I83/100</f>
        <v>49.018983027633332</v>
      </c>
      <c r="U15" s="27"/>
      <c r="V15" s="25"/>
      <c r="W15" s="25"/>
      <c r="X15" s="25"/>
      <c r="Y15" s="25"/>
      <c r="Z15" s="25"/>
      <c r="AB15" s="25"/>
      <c r="AC15" s="27" t="s">
        <v>48</v>
      </c>
      <c r="AD15" s="28">
        <f>AD11*I83/100</f>
        <v>50.107701015120881</v>
      </c>
      <c r="AE15" s="27"/>
      <c r="AF15" s="25"/>
      <c r="AG15" s="25"/>
      <c r="AH15" s="25"/>
      <c r="AI15" s="25"/>
      <c r="AJ15" s="25"/>
      <c r="AL15" s="25"/>
      <c r="AM15" s="27" t="s">
        <v>48</v>
      </c>
      <c r="AN15" s="28">
        <f>AN11*I83/100</f>
        <v>50.833513006779249</v>
      </c>
      <c r="AO15" s="27"/>
      <c r="AP15" s="25"/>
      <c r="AQ15" s="25"/>
      <c r="AR15" s="25"/>
      <c r="AS15" s="25"/>
      <c r="AT15" s="25"/>
    </row>
    <row r="16" spans="2:46" x14ac:dyDescent="0.2">
      <c r="B16" t="str">
        <f>'option 3.1 higher MSW recycling'!B16</f>
        <v>increase 2015-2020</v>
      </c>
      <c r="C16" s="2">
        <f>'option 3.1 higher MSW recycling'!C16</f>
        <v>9.8336144557082932</v>
      </c>
      <c r="D16" s="55" t="s">
        <v>2</v>
      </c>
      <c r="R16" s="25"/>
      <c r="S16" s="27" t="s">
        <v>46</v>
      </c>
      <c r="T16" s="28">
        <f>T12*I84/100</f>
        <v>1.7516626527831847</v>
      </c>
      <c r="U16" s="27"/>
      <c r="V16" s="25"/>
      <c r="W16" s="25"/>
      <c r="X16" s="25"/>
      <c r="Y16" s="25"/>
      <c r="Z16" s="25"/>
      <c r="AB16" s="25"/>
      <c r="AC16" s="27" t="s">
        <v>46</v>
      </c>
      <c r="AD16" s="28">
        <f>AD12*I84/100</f>
        <v>1.9239144046225161</v>
      </c>
      <c r="AE16" s="27"/>
      <c r="AF16" s="25"/>
      <c r="AG16" s="25"/>
      <c r="AH16" s="25"/>
      <c r="AI16" s="25"/>
      <c r="AJ16" s="25"/>
      <c r="AL16" s="25"/>
      <c r="AM16" s="27" t="s">
        <v>46</v>
      </c>
      <c r="AN16" s="28">
        <f>AN12*I84/100</f>
        <v>2.1131047296309307</v>
      </c>
      <c r="AO16" s="27"/>
      <c r="AP16" s="25"/>
      <c r="AQ16" s="25"/>
      <c r="AR16" s="25"/>
      <c r="AS16" s="25"/>
      <c r="AT16" s="25"/>
    </row>
    <row r="17" spans="2:46" x14ac:dyDescent="0.2">
      <c r="B17" t="str">
        <f>'option 3.1 higher MSW recycling'!B17</f>
        <v>increase 2015-2025</v>
      </c>
      <c r="C17" s="2">
        <f>'option 3.1 higher MSW recycling'!C17</f>
        <v>20.634228644051781</v>
      </c>
      <c r="D17" t="s">
        <v>2</v>
      </c>
      <c r="R17" s="25"/>
      <c r="S17" s="27"/>
      <c r="T17" s="26"/>
      <c r="U17" s="27"/>
      <c r="V17" s="25"/>
      <c r="W17" s="25"/>
      <c r="X17" s="25" t="s">
        <v>100</v>
      </c>
      <c r="Y17" s="25" t="s">
        <v>101</v>
      </c>
      <c r="Z17" s="25"/>
      <c r="AB17" s="25"/>
      <c r="AC17" s="27"/>
      <c r="AD17" s="26"/>
      <c r="AE17" s="27"/>
      <c r="AF17" s="25"/>
      <c r="AG17" s="25"/>
      <c r="AH17" s="25" t="s">
        <v>100</v>
      </c>
      <c r="AI17" s="25" t="s">
        <v>101</v>
      </c>
      <c r="AJ17" s="25"/>
      <c r="AL17" s="25"/>
      <c r="AM17" s="27"/>
      <c r="AN17" s="26"/>
      <c r="AO17" s="27"/>
      <c r="AP17" s="25"/>
      <c r="AQ17" s="25"/>
      <c r="AR17" s="25" t="s">
        <v>100</v>
      </c>
      <c r="AS17" s="25" t="s">
        <v>101</v>
      </c>
      <c r="AT17" s="25"/>
    </row>
    <row r="18" spans="2:46" x14ac:dyDescent="0.2">
      <c r="B18" t="str">
        <f>'option 3.1 higher MSW recycling'!B18</f>
        <v>increase 2015-2030</v>
      </c>
      <c r="C18" s="2">
        <f>'option 3.1 higher MSW recycling'!C18</f>
        <v>32.496933590525494</v>
      </c>
      <c r="D18" t="s">
        <v>2</v>
      </c>
      <c r="H18"/>
      <c r="R18" s="25"/>
      <c r="S18" s="27" t="s">
        <v>25</v>
      </c>
      <c r="T18" s="28">
        <f>$T$11*H213/100</f>
        <v>49.250303615501892</v>
      </c>
      <c r="U18" s="27" t="s">
        <v>84</v>
      </c>
      <c r="V18" s="28">
        <f>F60</f>
        <v>26.030271701672291</v>
      </c>
      <c r="W18" s="25" t="s">
        <v>2</v>
      </c>
      <c r="X18" s="28">
        <f>T18-T18*V18/100</f>
        <v>36.430315770488221</v>
      </c>
      <c r="Y18" s="28">
        <f>IF(X18&lt;(X26+X34),X18,(X26+X34))</f>
        <v>36.430315770488221</v>
      </c>
      <c r="Z18" s="25"/>
      <c r="AB18" s="25"/>
      <c r="AC18" s="27" t="s">
        <v>25</v>
      </c>
      <c r="AD18" s="28">
        <f>$AD$11*H213/100</f>
        <v>50.344159263327001</v>
      </c>
      <c r="AE18" s="27" t="s">
        <v>84</v>
      </c>
      <c r="AF18" s="28">
        <f>I60</f>
        <v>36.343694104712718</v>
      </c>
      <c r="AG18" s="25" t="s">
        <v>2</v>
      </c>
      <c r="AH18" s="28">
        <f>AD18-AD18*AF18/100</f>
        <v>32.047232021074045</v>
      </c>
      <c r="AI18" s="28">
        <f>IF(AH18&lt;(AH26+AH34),AH18,(AH26+AH34))</f>
        <v>30.897387912259045</v>
      </c>
      <c r="AJ18" s="25"/>
      <c r="AL18" s="25"/>
      <c r="AM18" s="27" t="s">
        <v>25</v>
      </c>
      <c r="AN18" s="28">
        <f>AN11*H213/100</f>
        <v>51.073396361877073</v>
      </c>
      <c r="AO18" s="27" t="s">
        <v>84</v>
      </c>
      <c r="AP18" s="28">
        <f>L60</f>
        <v>36.343694104712718</v>
      </c>
      <c r="AQ18" s="25" t="s">
        <v>2</v>
      </c>
      <c r="AR18" s="28">
        <f>AN18-AN18*AP18/100</f>
        <v>32.511437419228997</v>
      </c>
      <c r="AS18" s="28">
        <f>IF(AR18&lt;(AR26+AR34),AR18,(AR26+AR34))</f>
        <v>31.344937773923434</v>
      </c>
      <c r="AT18" s="25"/>
    </row>
    <row r="19" spans="2:46" x14ac:dyDescent="0.2">
      <c r="C19" s="2"/>
      <c r="D19" s="2"/>
      <c r="E19" s="2"/>
      <c r="F19" s="2"/>
      <c r="G19" s="2"/>
      <c r="H19" s="2"/>
      <c r="I19" s="2"/>
      <c r="J19" s="2"/>
      <c r="K19" s="2"/>
      <c r="R19" s="25"/>
      <c r="S19" s="27" t="s">
        <v>26</v>
      </c>
      <c r="T19" s="28">
        <f>$T$11*H214/100</f>
        <v>2.3816712014628534</v>
      </c>
      <c r="U19" s="27" t="s">
        <v>84</v>
      </c>
      <c r="V19" s="28">
        <f>F61</f>
        <v>33.560572654849047</v>
      </c>
      <c r="W19" s="25" t="s">
        <v>2</v>
      </c>
      <c r="X19" s="28">
        <f t="shared" ref="X19:X24" si="0">T19-T19*V19/100</f>
        <v>1.5823687074962964</v>
      </c>
      <c r="Y19" s="28">
        <f>IF(X19&lt;(X27+X35),X19,(X27+X35))</f>
        <v>1.5823687074962964</v>
      </c>
      <c r="Z19" s="25"/>
      <c r="AB19" s="25"/>
      <c r="AC19" s="27" t="s">
        <v>26</v>
      </c>
      <c r="AD19" s="28">
        <f>$AD$11*H214/100</f>
        <v>2.434568428560608</v>
      </c>
      <c r="AE19" s="27" t="s">
        <v>84</v>
      </c>
      <c r="AF19" s="28">
        <f t="shared" ref="AF19" si="1">I61</f>
        <v>53.092669351598708</v>
      </c>
      <c r="AG19" s="25" t="s">
        <v>2</v>
      </c>
      <c r="AH19" s="28">
        <f t="shared" ref="AH19:AH22" si="2">AD19-AD19*AF19/100</f>
        <v>1.141991062646512</v>
      </c>
      <c r="AI19" s="28">
        <f>IF(AH19&lt;(AH27+AH35),AH19,(AH27+AH35))</f>
        <v>1.141991062646512</v>
      </c>
      <c r="AJ19" s="25"/>
      <c r="AL19" s="25"/>
      <c r="AM19" s="27" t="s">
        <v>26</v>
      </c>
      <c r="AN19" s="28">
        <f>AN11*H214/100</f>
        <v>2.469833246625778</v>
      </c>
      <c r="AO19" s="27" t="s">
        <v>84</v>
      </c>
      <c r="AP19" s="28">
        <f>L61</f>
        <v>72.624766048348391</v>
      </c>
      <c r="AQ19" s="25" t="s">
        <v>2</v>
      </c>
      <c r="AR19" s="28">
        <f t="shared" ref="AR19:AR22" si="3">AN19-AN19*AP19/100</f>
        <v>0.6761226294794791</v>
      </c>
      <c r="AS19" s="28">
        <f>IF(AR19&lt;(AR27+AR35),AR19,(AR27+AR35))</f>
        <v>0.6761226294794791</v>
      </c>
      <c r="AT19" s="25"/>
    </row>
    <row r="20" spans="2:46" x14ac:dyDescent="0.2">
      <c r="R20" s="25"/>
      <c r="S20" s="27" t="s">
        <v>119</v>
      </c>
      <c r="T20" s="28">
        <f>$T$11*H216/100</f>
        <v>1.9750725185569928</v>
      </c>
      <c r="U20" s="27" t="s">
        <v>84</v>
      </c>
      <c r="V20" s="28">
        <f>F63</f>
        <v>50.085294377419189</v>
      </c>
      <c r="W20" s="25" t="s">
        <v>2</v>
      </c>
      <c r="X20" s="28">
        <f t="shared" si="0"/>
        <v>0.98585163347021576</v>
      </c>
      <c r="Y20" s="28">
        <f>IF(X20&lt;(X28+X36),X20,(X28+X36))</f>
        <v>0.98585163347021576</v>
      </c>
      <c r="Z20" s="25"/>
      <c r="AB20" s="25"/>
      <c r="AC20" s="27" t="s">
        <v>119</v>
      </c>
      <c r="AD20" s="28">
        <f>$AD$11*H216/100</f>
        <v>2.0189391360331888</v>
      </c>
      <c r="AE20" s="27" t="s">
        <v>84</v>
      </c>
      <c r="AF20" s="28">
        <f>I63</f>
        <v>59.818899334414013</v>
      </c>
      <c r="AG20" s="25" t="s">
        <v>2</v>
      </c>
      <c r="AH20" s="28">
        <f t="shared" si="2"/>
        <v>0.81123196662640762</v>
      </c>
      <c r="AI20" s="28">
        <f>IF(AH20&lt;(AH28+AH36),AH20,(AH28+AH36))</f>
        <v>0.81123196662640762</v>
      </c>
      <c r="AJ20" s="25"/>
      <c r="AL20" s="25"/>
      <c r="AM20" s="27" t="s">
        <v>119</v>
      </c>
      <c r="AN20" s="28">
        <f>$AN$11*H216/100</f>
        <v>2.048183547683986</v>
      </c>
      <c r="AO20" s="27" t="s">
        <v>84</v>
      </c>
      <c r="AP20" s="28">
        <f>L63</f>
        <v>68.781504770975317</v>
      </c>
      <c r="AQ20" s="25" t="s">
        <v>2</v>
      </c>
      <c r="AR20" s="28">
        <f t="shared" si="3"/>
        <v>0.63941208311539377</v>
      </c>
      <c r="AS20" s="28">
        <f>IF(AR20&lt;(AR28+AR36),AR20,(AR28+AR36))</f>
        <v>0.63941208311539377</v>
      </c>
      <c r="AT20" s="25"/>
    </row>
    <row r="21" spans="2:46" x14ac:dyDescent="0.2">
      <c r="R21" s="25"/>
      <c r="S21" s="27" t="s">
        <v>120</v>
      </c>
      <c r="T21" s="28">
        <f>$T$11*H217/100</f>
        <v>0.35982652653328145</v>
      </c>
      <c r="U21" s="27" t="s">
        <v>84</v>
      </c>
      <c r="V21" s="28">
        <f>F64</f>
        <v>31.377427838836063</v>
      </c>
      <c r="W21" s="25" t="s">
        <v>2</v>
      </c>
      <c r="X21" s="28">
        <f t="shared" si="0"/>
        <v>0.24692221782531076</v>
      </c>
      <c r="Y21" s="28">
        <f t="shared" ref="Y21" si="4">IF(X21&lt;(X29+X37),X21,(X29+X37))</f>
        <v>0.1405469975197669</v>
      </c>
      <c r="Z21" s="25"/>
      <c r="AB21" s="25"/>
      <c r="AC21" s="27" t="s">
        <v>120</v>
      </c>
      <c r="AD21" s="28">
        <f t="shared" ref="AD21:AD24" si="5">$AD$11*H217/100</f>
        <v>0.36781832047953911</v>
      </c>
      <c r="AE21" s="27" t="s">
        <v>84</v>
      </c>
      <c r="AF21" s="28">
        <f t="shared" ref="AF21:AF24" si="6">I64</f>
        <v>37.475335237530274</v>
      </c>
      <c r="AG21" s="25" t="s">
        <v>2</v>
      </c>
      <c r="AH21" s="28">
        <f t="shared" si="2"/>
        <v>0.22997717181477836</v>
      </c>
      <c r="AI21" s="28">
        <f t="shared" ref="AI21" si="7">IF(AH21&lt;(AH29+AH37),AH21,(AH29+AH37))</f>
        <v>0.10400790584903463</v>
      </c>
      <c r="AJ21" s="25"/>
      <c r="AL21" s="25"/>
      <c r="AM21" s="27" t="s">
        <v>120</v>
      </c>
      <c r="AN21" s="28">
        <f t="shared" ref="AN21:AN24" si="8">$AN$11*H217/100</f>
        <v>0.37314618311037767</v>
      </c>
      <c r="AO21" s="27" t="s">
        <v>84</v>
      </c>
      <c r="AP21" s="28">
        <f t="shared" ref="AP21:AP24" si="9">L64</f>
        <v>43.090226970311072</v>
      </c>
      <c r="AQ21" s="25" t="s">
        <v>2</v>
      </c>
      <c r="AR21" s="28">
        <f t="shared" si="3"/>
        <v>0.21235664587706338</v>
      </c>
      <c r="AS21" s="28">
        <f t="shared" ref="AS21" si="10">IF(AR21&lt;(AR29+AR37),AR21,(AR29+AR37))</f>
        <v>0.10272043416352702</v>
      </c>
      <c r="AT21" s="25"/>
    </row>
    <row r="22" spans="2:46" x14ac:dyDescent="0.2">
      <c r="H22" s="2"/>
      <c r="R22" s="25"/>
      <c r="S22" s="27" t="s">
        <v>28</v>
      </c>
      <c r="T22" s="28">
        <f>$T$11*H218/100</f>
        <v>16.809670945221271</v>
      </c>
      <c r="U22" s="27" t="s">
        <v>84</v>
      </c>
      <c r="V22" s="28">
        <f>F65</f>
        <v>32.993809890186753</v>
      </c>
      <c r="W22" s="25" t="s">
        <v>2</v>
      </c>
      <c r="X22" s="28">
        <f t="shared" si="0"/>
        <v>11.263520070389006</v>
      </c>
      <c r="Y22" s="28">
        <f>IF(X22&lt;(X30+X38),X22,(X30+X38))</f>
        <v>11.263520070389006</v>
      </c>
      <c r="Z22" s="25"/>
      <c r="AB22" s="25"/>
      <c r="AC22" s="27" t="s">
        <v>28</v>
      </c>
      <c r="AD22" s="28">
        <f t="shared" si="5"/>
        <v>17.183015922849478</v>
      </c>
      <c r="AE22" s="27" t="s">
        <v>84</v>
      </c>
      <c r="AF22" s="28">
        <f t="shared" si="6"/>
        <v>36.701755613065664</v>
      </c>
      <c r="AG22" s="25" t="s">
        <v>2</v>
      </c>
      <c r="AH22" s="28">
        <f t="shared" si="2"/>
        <v>10.876547411891103</v>
      </c>
      <c r="AI22" s="28">
        <f>IF(AH22&lt;(AH30+AH38),AH22,(AH30+AH38))</f>
        <v>10.703325478710399</v>
      </c>
      <c r="AJ22" s="25"/>
      <c r="AL22" s="25"/>
      <c r="AM22" s="27" t="s">
        <v>28</v>
      </c>
      <c r="AN22" s="28">
        <f t="shared" si="8"/>
        <v>17.431912574601618</v>
      </c>
      <c r="AO22" s="27" t="s">
        <v>84</v>
      </c>
      <c r="AP22" s="28">
        <f t="shared" si="9"/>
        <v>36.701755613065664</v>
      </c>
      <c r="AQ22" s="25" t="s">
        <v>2</v>
      </c>
      <c r="AR22" s="28">
        <f t="shared" si="3"/>
        <v>11.034094622788068</v>
      </c>
      <c r="AS22" s="28">
        <f>IF(AR22&lt;(AR30+AR38),AR22,(AR30+AR38))</f>
        <v>10.858363563190196</v>
      </c>
      <c r="AT22" s="25"/>
    </row>
    <row r="23" spans="2:46" x14ac:dyDescent="0.2">
      <c r="B23" s="4" t="s">
        <v>169</v>
      </c>
      <c r="R23" s="25"/>
      <c r="S23" s="27" t="s">
        <v>107</v>
      </c>
      <c r="T23" s="28">
        <f>$T$11*H219/100</f>
        <v>0.41146167138226708</v>
      </c>
      <c r="U23" s="27" t="s">
        <v>84</v>
      </c>
      <c r="V23" s="28">
        <v>0</v>
      </c>
      <c r="W23" s="25" t="s">
        <v>2</v>
      </c>
      <c r="X23" s="28">
        <f>T23-T23*V23/100</f>
        <v>0.41146167138226708</v>
      </c>
      <c r="Y23" s="28">
        <f>IF(X23&lt;(X31+X40),X23,(X31+X40))</f>
        <v>0.41146167138226708</v>
      </c>
      <c r="Z23" s="25"/>
      <c r="AB23" s="25"/>
      <c r="AC23" s="27" t="s">
        <v>107</v>
      </c>
      <c r="AD23" s="28">
        <f t="shared" si="5"/>
        <v>0.42060028861027116</v>
      </c>
      <c r="AE23" s="27" t="s">
        <v>84</v>
      </c>
      <c r="AF23" s="28">
        <f t="shared" si="6"/>
        <v>0</v>
      </c>
      <c r="AG23" s="25" t="s">
        <v>2</v>
      </c>
      <c r="AH23" s="28">
        <f>AD23-AD23*AF23/100</f>
        <v>0.42060028861027116</v>
      </c>
      <c r="AI23" s="28">
        <f>IF(AH23&lt;(AH31+AH40),AH23,(AH31+AH40))</f>
        <v>0.42060028861027116</v>
      </c>
      <c r="AJ23" s="25"/>
      <c r="AL23" s="25"/>
      <c r="AM23" s="27" t="s">
        <v>107</v>
      </c>
      <c r="AN23" s="28">
        <f t="shared" si="8"/>
        <v>0.42669270009560711</v>
      </c>
      <c r="AO23" s="27" t="s">
        <v>84</v>
      </c>
      <c r="AP23" s="28">
        <f t="shared" si="9"/>
        <v>0</v>
      </c>
      <c r="AQ23" s="25" t="s">
        <v>2</v>
      </c>
      <c r="AR23" s="28">
        <f>AN23-AN23*AP23/100</f>
        <v>0.42669270009560711</v>
      </c>
      <c r="AS23" s="28">
        <f>IF(AR23&lt;(AR31+AR40),AR23,(AR31+AR40))</f>
        <v>0.42669270009560711</v>
      </c>
      <c r="AT23" s="25"/>
    </row>
    <row r="24" spans="2:46" x14ac:dyDescent="0.2">
      <c r="B24" t="str">
        <f>'option 3.1 higher MSW recycling'!B24</f>
        <v>as in BAU</v>
      </c>
      <c r="R24" s="25"/>
      <c r="S24" s="27" t="s">
        <v>29</v>
      </c>
      <c r="T24" s="28">
        <f>$T$11*H220/100</f>
        <v>9.4489402479585731</v>
      </c>
      <c r="U24" s="27" t="s">
        <v>84</v>
      </c>
      <c r="V24" s="28">
        <v>0</v>
      </c>
      <c r="W24" s="25" t="s">
        <v>2</v>
      </c>
      <c r="X24" s="28">
        <f t="shared" si="0"/>
        <v>9.4489402479585731</v>
      </c>
      <c r="Y24" s="28">
        <f>IF(X24&lt;(X32+X40),X24,(X32+X40))</f>
        <v>9.4489402479585731</v>
      </c>
      <c r="Z24" s="25"/>
      <c r="AB24" s="25"/>
      <c r="AC24" s="27" t="s">
        <v>29</v>
      </c>
      <c r="AD24" s="28">
        <f t="shared" si="5"/>
        <v>9.6588024396088663</v>
      </c>
      <c r="AE24" s="27" t="s">
        <v>84</v>
      </c>
      <c r="AF24" s="28">
        <f t="shared" si="6"/>
        <v>0</v>
      </c>
      <c r="AG24" s="25" t="s">
        <v>2</v>
      </c>
      <c r="AH24" s="28">
        <f t="shared" ref="AH24" si="11">AD24-AD24*AF24/100</f>
        <v>9.6588024396088663</v>
      </c>
      <c r="AI24" s="28">
        <f>IF(AH24&lt;(AH32+AH40),AH24,(AH32+AH40))</f>
        <v>9.6588024396088663</v>
      </c>
      <c r="AJ24" s="25"/>
      <c r="AL24" s="25"/>
      <c r="AM24" s="27" t="s">
        <v>29</v>
      </c>
      <c r="AN24" s="28">
        <f t="shared" si="8"/>
        <v>9.7987105673757284</v>
      </c>
      <c r="AO24" s="27" t="s">
        <v>84</v>
      </c>
      <c r="AP24" s="28">
        <f t="shared" si="9"/>
        <v>0</v>
      </c>
      <c r="AQ24" s="25" t="s">
        <v>2</v>
      </c>
      <c r="AR24" s="28">
        <f t="shared" ref="AR24" si="12">AN24-AN24*AP24/100</f>
        <v>9.7987105673757284</v>
      </c>
      <c r="AS24" s="28">
        <f>IF(AR24&lt;(AR32+AR40),AR24,(AR32+AR40))</f>
        <v>9.7987105673757284</v>
      </c>
      <c r="AT24" s="25"/>
    </row>
    <row r="25" spans="2:46" x14ac:dyDescent="0.2">
      <c r="B25" s="79" t="str">
        <f>'option 3.1 higher MSW recycling'!B25</f>
        <v>consumer (MSW)</v>
      </c>
      <c r="C25" s="11">
        <f>'option 3.1 higher MSW recycling'!C25</f>
        <v>0.78366280390281762</v>
      </c>
      <c r="D25" s="79"/>
      <c r="E25" s="79"/>
      <c r="F25" s="79"/>
      <c r="G25" s="307"/>
      <c r="H25" s="80"/>
      <c r="I25" s="80"/>
      <c r="J25" s="80"/>
      <c r="K25" s="80"/>
      <c r="L25" s="79"/>
      <c r="M25" s="79"/>
      <c r="N25" s="79"/>
      <c r="O25" s="79"/>
      <c r="P25" s="79"/>
      <c r="R25" s="25"/>
      <c r="S25" s="25"/>
      <c r="T25" s="26"/>
      <c r="U25" s="25"/>
      <c r="V25" s="25"/>
      <c r="W25" s="25"/>
      <c r="X25" s="25"/>
      <c r="Y25" s="26"/>
      <c r="Z25" s="25"/>
      <c r="AB25" s="25"/>
      <c r="AC25" s="25"/>
      <c r="AD25" s="26"/>
      <c r="AE25" s="25"/>
      <c r="AF25" s="25"/>
      <c r="AG25" s="25"/>
      <c r="AH25" s="25"/>
      <c r="AI25" s="26"/>
      <c r="AJ25" s="25"/>
      <c r="AL25" s="25"/>
      <c r="AM25" s="25"/>
      <c r="AN25" s="26"/>
      <c r="AO25" s="25"/>
      <c r="AP25" s="25"/>
      <c r="AQ25" s="25"/>
      <c r="AR25" s="25"/>
      <c r="AS25" s="26"/>
      <c r="AT25" s="25"/>
    </row>
    <row r="26" spans="2:46" x14ac:dyDescent="0.2">
      <c r="B26" s="79" t="str">
        <f>'option 3.1 higher MSW recycling'!B26</f>
        <v>industrial</v>
      </c>
      <c r="C26" s="11">
        <f>'option 3.1 higher MSW recycling'!C26</f>
        <v>0.21633719609718238</v>
      </c>
      <c r="D26" s="79"/>
      <c r="E26" s="11"/>
      <c r="F26" s="11"/>
      <c r="G26" s="307"/>
      <c r="H26" s="11"/>
      <c r="I26" s="11"/>
      <c r="J26" s="11"/>
      <c r="K26" s="11"/>
      <c r="L26" s="79"/>
      <c r="M26" s="11"/>
      <c r="N26" s="11"/>
      <c r="O26" s="11"/>
      <c r="P26" s="11"/>
      <c r="Q26" s="11"/>
      <c r="R26" s="25"/>
      <c r="S26" s="27" t="s">
        <v>38</v>
      </c>
      <c r="T26" s="28">
        <f>$T$15*H140/100</f>
        <v>40.714176822055109</v>
      </c>
      <c r="U26" s="27" t="s">
        <v>84</v>
      </c>
      <c r="V26" s="28">
        <f>K172</f>
        <v>16.271461568041236</v>
      </c>
      <c r="W26" s="25" t="s">
        <v>2</v>
      </c>
      <c r="X26" s="28">
        <f t="shared" ref="X26:X32" si="13">T26-V26*T26/100</f>
        <v>34.089385187710057</v>
      </c>
      <c r="Y26" s="29" t="s">
        <v>97</v>
      </c>
      <c r="Z26" s="25"/>
      <c r="AB26" s="25"/>
      <c r="AC26" s="27" t="s">
        <v>38</v>
      </c>
      <c r="AD26" s="28">
        <f>$AD$15*H140/100</f>
        <v>41.618443983757182</v>
      </c>
      <c r="AE26" s="27" t="s">
        <v>84</v>
      </c>
      <c r="AF26" s="28">
        <f>O172</f>
        <v>39.106517504029995</v>
      </c>
      <c r="AG26" s="25" t="s">
        <v>2</v>
      </c>
      <c r="AH26" s="28">
        <f>AD26-AF26*AD26/100</f>
        <v>25.34291990234426</v>
      </c>
      <c r="AI26" s="29" t="s">
        <v>97</v>
      </c>
      <c r="AJ26" s="25"/>
      <c r="AL26" s="25"/>
      <c r="AM26" s="27" t="s">
        <v>38</v>
      </c>
      <c r="AN26" s="28">
        <f>$AN$15*H140/100</f>
        <v>42.221288758225228</v>
      </c>
      <c r="AO26" s="27" t="s">
        <v>84</v>
      </c>
      <c r="AP26" s="28">
        <f>S172</f>
        <v>39.106517504029995</v>
      </c>
      <c r="AQ26" s="25" t="s">
        <v>2</v>
      </c>
      <c r="AR26" s="28">
        <f>AN26-AP26*AN26/100</f>
        <v>25.710013079562831</v>
      </c>
      <c r="AS26" s="29" t="s">
        <v>97</v>
      </c>
      <c r="AT26" s="25"/>
    </row>
    <row r="27" spans="2:46" x14ac:dyDescent="0.2">
      <c r="B27" s="79"/>
      <c r="C27" s="11"/>
      <c r="D27" s="11"/>
      <c r="E27" s="11"/>
      <c r="F27" s="11"/>
      <c r="G27" s="307"/>
      <c r="H27" s="11"/>
      <c r="I27" s="11"/>
      <c r="J27" s="11"/>
      <c r="K27" s="11"/>
      <c r="L27" s="79"/>
      <c r="M27" s="11"/>
      <c r="N27" s="11"/>
      <c r="O27" s="11"/>
      <c r="P27" s="11"/>
      <c r="Q27" s="11"/>
      <c r="R27" s="25"/>
      <c r="S27" s="27" t="s">
        <v>39</v>
      </c>
      <c r="T27" s="28">
        <f>$T$15*H141/100</f>
        <v>2.0770514927350527</v>
      </c>
      <c r="U27" s="27" t="s">
        <v>84</v>
      </c>
      <c r="V27" s="28">
        <f>K173</f>
        <v>0</v>
      </c>
      <c r="W27" s="25" t="s">
        <v>2</v>
      </c>
      <c r="X27" s="28">
        <f t="shared" si="13"/>
        <v>2.0770514927350527</v>
      </c>
      <c r="Y27" s="29" t="s">
        <v>97</v>
      </c>
      <c r="Z27" s="25"/>
      <c r="AB27" s="25"/>
      <c r="AC27" s="27" t="s">
        <v>39</v>
      </c>
      <c r="AD27" s="28">
        <f>$AD$15*H141/100</f>
        <v>2.1231830764891209</v>
      </c>
      <c r="AE27" s="27" t="s">
        <v>84</v>
      </c>
      <c r="AF27" s="28">
        <f>O173</f>
        <v>30.645645813085515</v>
      </c>
      <c r="AG27" s="25" t="s">
        <v>2</v>
      </c>
      <c r="AH27" s="28">
        <f t="shared" ref="AH27" si="14">AD27-AF27*AD27/100</f>
        <v>1.4725199109048923</v>
      </c>
      <c r="AI27" s="29" t="s">
        <v>97</v>
      </c>
      <c r="AJ27" s="25"/>
      <c r="AL27" s="25"/>
      <c r="AM27" s="27" t="s">
        <v>39</v>
      </c>
      <c r="AN27" s="28">
        <f t="shared" ref="AN27" si="15">$AN$15*H141/100</f>
        <v>2.1539374656584998</v>
      </c>
      <c r="AO27" s="27" t="s">
        <v>84</v>
      </c>
      <c r="AP27" s="28">
        <f>S173</f>
        <v>65.322822906542754</v>
      </c>
      <c r="AQ27" s="25" t="s">
        <v>2</v>
      </c>
      <c r="AR27" s="28">
        <f t="shared" ref="AR27" si="16">AN27-AP27*AN27/100</f>
        <v>0.7469247094487228</v>
      </c>
      <c r="AS27" s="29" t="s">
        <v>97</v>
      </c>
      <c r="AT27" s="25"/>
    </row>
    <row r="28" spans="2:46" x14ac:dyDescent="0.2">
      <c r="B28" s="81"/>
      <c r="C28" s="11"/>
      <c r="D28" s="11"/>
      <c r="E28" s="11"/>
      <c r="F28" s="11"/>
      <c r="G28" s="307"/>
      <c r="H28" s="308"/>
      <c r="I28" s="308"/>
      <c r="J28" s="308"/>
      <c r="K28" s="308"/>
      <c r="L28" s="79"/>
      <c r="M28" s="11"/>
      <c r="N28" s="79"/>
      <c r="O28" s="79"/>
      <c r="P28" s="79"/>
      <c r="R28" s="25"/>
      <c r="S28" s="27" t="s">
        <v>115</v>
      </c>
      <c r="T28" s="28">
        <f>$T$15*H143/100</f>
        <v>1.7116858693363994</v>
      </c>
      <c r="U28" s="27" t="s">
        <v>84</v>
      </c>
      <c r="V28" s="28">
        <f>K176</f>
        <v>0</v>
      </c>
      <c r="W28" s="25" t="s">
        <v>2</v>
      </c>
      <c r="X28" s="28">
        <f t="shared" si="13"/>
        <v>1.7116858693363994</v>
      </c>
      <c r="Y28" s="29" t="s">
        <v>97</v>
      </c>
      <c r="Z28" s="25"/>
      <c r="AB28" s="25"/>
      <c r="AC28" s="27" t="s">
        <v>115</v>
      </c>
      <c r="AD28" s="28">
        <f>$AD$15*H143/100</f>
        <v>1.7497026350825242</v>
      </c>
      <c r="AE28" s="27" t="s">
        <v>84</v>
      </c>
      <c r="AF28" s="28">
        <f>O176</f>
        <v>20.281904133418234</v>
      </c>
      <c r="AG28" s="25" t="s">
        <v>2</v>
      </c>
      <c r="AH28" s="28">
        <f>AD28-AF28*AD28/100</f>
        <v>1.3948296240151941</v>
      </c>
      <c r="AI28" s="29" t="s">
        <v>97</v>
      </c>
      <c r="AJ28" s="25"/>
      <c r="AL28" s="25"/>
      <c r="AM28" s="27" t="s">
        <v>115</v>
      </c>
      <c r="AN28" s="28">
        <f>$AN$15*H143/100</f>
        <v>1.7750471455799408</v>
      </c>
      <c r="AO28" s="27" t="s">
        <v>84</v>
      </c>
      <c r="AP28" s="28">
        <f>S176</f>
        <v>60.140952066709119</v>
      </c>
      <c r="AQ28" s="25" t="s">
        <v>2</v>
      </c>
      <c r="AR28" s="28">
        <f>AN28-AP28*AN28/100</f>
        <v>0.70751689259522021</v>
      </c>
      <c r="AS28" s="29" t="s">
        <v>97</v>
      </c>
      <c r="AT28" s="25"/>
    </row>
    <row r="29" spans="2:46" x14ac:dyDescent="0.2">
      <c r="B29" s="82"/>
      <c r="C29" s="82"/>
      <c r="D29" s="82"/>
      <c r="E29" s="82"/>
      <c r="F29" s="82"/>
      <c r="G29" s="307"/>
      <c r="H29" s="11"/>
      <c r="I29" s="11"/>
      <c r="J29" s="11"/>
      <c r="K29" s="11"/>
      <c r="L29" s="79"/>
      <c r="M29" s="75"/>
      <c r="N29" s="11"/>
      <c r="O29" s="11"/>
      <c r="P29" s="11"/>
      <c r="Q29" s="3"/>
      <c r="R29" s="25"/>
      <c r="S29" s="27" t="s">
        <v>116</v>
      </c>
      <c r="T29" s="28">
        <f>$T$15*H144/100</f>
        <v>0.31184170459189348</v>
      </c>
      <c r="U29" s="27" t="s">
        <v>84</v>
      </c>
      <c r="V29" s="28">
        <f>K175</f>
        <v>65.489356660145219</v>
      </c>
      <c r="W29" s="25" t="s">
        <v>2</v>
      </c>
      <c r="X29" s="28">
        <f t="shared" si="13"/>
        <v>0.10761857845663192</v>
      </c>
      <c r="Y29" s="29" t="s">
        <v>97</v>
      </c>
      <c r="Z29" s="25"/>
      <c r="AB29" s="25"/>
      <c r="AC29" s="27" t="s">
        <v>116</v>
      </c>
      <c r="AD29" s="28">
        <f t="shared" ref="AD29:AD32" si="17">$AD$15*H144/100</f>
        <v>0.31876774940287178</v>
      </c>
      <c r="AE29" s="27" t="s">
        <v>84</v>
      </c>
      <c r="AF29" s="28">
        <f>O175</f>
        <v>76.992904440096808</v>
      </c>
      <c r="AG29" s="25" t="s">
        <v>2</v>
      </c>
      <c r="AH29" s="28">
        <f>AD29-AF29*AD29/100</f>
        <v>7.3339200719271441E-2</v>
      </c>
      <c r="AI29" s="29" t="s">
        <v>97</v>
      </c>
      <c r="AJ29" s="25"/>
      <c r="AL29" s="25"/>
      <c r="AM29" s="27" t="s">
        <v>116</v>
      </c>
      <c r="AN29" s="28">
        <f t="shared" ref="AN29:AN32" si="18">$AN$15*H144/100</f>
        <v>0.32338511261019065</v>
      </c>
      <c r="AO29" s="27" t="s">
        <v>84</v>
      </c>
      <c r="AP29" s="28">
        <f>S175</f>
        <v>76.992904440096808</v>
      </c>
      <c r="AQ29" s="25" t="s">
        <v>2</v>
      </c>
      <c r="AR29" s="28">
        <f>AN29-AP29*AN29/100</f>
        <v>7.4401521884727095E-2</v>
      </c>
      <c r="AS29" s="29" t="s">
        <v>97</v>
      </c>
      <c r="AT29" s="25"/>
    </row>
    <row r="30" spans="2:46" x14ac:dyDescent="0.2">
      <c r="R30" s="25"/>
      <c r="S30" s="27" t="s">
        <v>41</v>
      </c>
      <c r="T30" s="28">
        <f>$T$15*H145/100</f>
        <v>3.6641848489839943</v>
      </c>
      <c r="U30" s="27" t="s">
        <v>84</v>
      </c>
      <c r="V30" s="28">
        <f>K177</f>
        <v>11.989711536792784</v>
      </c>
      <c r="W30" s="25" t="s">
        <v>2</v>
      </c>
      <c r="X30" s="28">
        <f t="shared" si="13"/>
        <v>3.2248596554159472</v>
      </c>
      <c r="Y30" s="29" t="s">
        <v>97</v>
      </c>
      <c r="Z30" s="25"/>
      <c r="AB30" s="25"/>
      <c r="AC30" s="27" t="s">
        <v>41</v>
      </c>
      <c r="AD30" s="28">
        <f t="shared" si="17"/>
        <v>3.7455668709716674</v>
      </c>
      <c r="AE30" s="27" t="s">
        <v>84</v>
      </c>
      <c r="AF30" s="28">
        <f>O177</f>
        <v>41.326474357861855</v>
      </c>
      <c r="AG30" s="25" t="s">
        <v>2</v>
      </c>
      <c r="AH30" s="28">
        <f t="shared" ref="AH30:AH32" si="19">AD30-AF30*AD30/100</f>
        <v>2.1976561384829925</v>
      </c>
      <c r="AI30" s="29" t="s">
        <v>97</v>
      </c>
      <c r="AJ30" s="25"/>
      <c r="AL30" s="25"/>
      <c r="AM30" s="27" t="s">
        <v>41</v>
      </c>
      <c r="AN30" s="28">
        <f t="shared" si="18"/>
        <v>3.7998215522967826</v>
      </c>
      <c r="AO30" s="27" t="s">
        <v>84</v>
      </c>
      <c r="AP30" s="28">
        <f>S177</f>
        <v>41.326474357861855</v>
      </c>
      <c r="AQ30" s="25" t="s">
        <v>2</v>
      </c>
      <c r="AR30" s="28">
        <f t="shared" ref="AR30:AR32" si="20">AN30-AP30*AN30/100</f>
        <v>2.2294892728423443</v>
      </c>
      <c r="AS30" s="29" t="s">
        <v>97</v>
      </c>
      <c r="AT30" s="25"/>
    </row>
    <row r="31" spans="2:46" x14ac:dyDescent="0.2">
      <c r="R31" s="25"/>
      <c r="S31" s="27" t="s">
        <v>105</v>
      </c>
      <c r="T31" s="28">
        <f>$T$15*H146/100</f>
        <v>0.35883503911995668</v>
      </c>
      <c r="U31" s="27" t="s">
        <v>84</v>
      </c>
      <c r="V31" s="28">
        <f>K178</f>
        <v>19.759364714446594</v>
      </c>
      <c r="W31" s="25" t="s">
        <v>2</v>
      </c>
      <c r="X31" s="28">
        <f t="shared" si="13"/>
        <v>0.2879315150170173</v>
      </c>
      <c r="Y31" s="29" t="s">
        <v>97</v>
      </c>
      <c r="Z31" s="25"/>
      <c r="AB31" s="25"/>
      <c r="AC31" s="27" t="s">
        <v>105</v>
      </c>
      <c r="AD31" s="28">
        <f t="shared" si="17"/>
        <v>0.36680481200183107</v>
      </c>
      <c r="AE31" s="27" t="s">
        <v>84</v>
      </c>
      <c r="AF31" s="28">
        <f>O178</f>
        <v>43.831555300112619</v>
      </c>
      <c r="AG31" s="25" t="s">
        <v>2</v>
      </c>
      <c r="AH31" s="28">
        <f t="shared" si="19"/>
        <v>0.20602855798577435</v>
      </c>
      <c r="AI31" s="29" t="s">
        <v>97</v>
      </c>
      <c r="AJ31" s="25"/>
      <c r="AL31" s="25"/>
      <c r="AM31" s="27" t="s">
        <v>105</v>
      </c>
      <c r="AN31" s="28">
        <f t="shared" si="18"/>
        <v>0.37211799392308076</v>
      </c>
      <c r="AO31" s="27" t="s">
        <v>84</v>
      </c>
      <c r="AP31" s="28">
        <f>S178</f>
        <v>67.903745885778633</v>
      </c>
      <c r="AQ31" s="25" t="s">
        <v>2</v>
      </c>
      <c r="AR31" s="28">
        <f t="shared" si="20"/>
        <v>0.11943593693429483</v>
      </c>
      <c r="AS31" s="29" t="s">
        <v>97</v>
      </c>
      <c r="AT31" s="25"/>
    </row>
    <row r="32" spans="2:46" x14ac:dyDescent="0.2">
      <c r="R32" s="25"/>
      <c r="S32" s="27" t="s">
        <v>52</v>
      </c>
      <c r="T32" s="28">
        <f>$T$15*H147/100</f>
        <v>0.18120725081092665</v>
      </c>
      <c r="U32" s="27" t="s">
        <v>84</v>
      </c>
      <c r="V32" s="28">
        <f>K179</f>
        <v>0</v>
      </c>
      <c r="W32" s="25" t="s">
        <v>2</v>
      </c>
      <c r="X32" s="28">
        <f t="shared" si="13"/>
        <v>0.18120725081092665</v>
      </c>
      <c r="Y32" s="29" t="s">
        <v>97</v>
      </c>
      <c r="Z32" s="25"/>
      <c r="AB32" s="25"/>
      <c r="AC32" s="27" t="s">
        <v>52</v>
      </c>
      <c r="AD32" s="28">
        <f t="shared" si="17"/>
        <v>0.18523188741568464</v>
      </c>
      <c r="AE32" s="27" t="s">
        <v>84</v>
      </c>
      <c r="AF32" s="28">
        <f t="shared" ref="AF32" si="21">M179</f>
        <v>0</v>
      </c>
      <c r="AG32" s="25" t="s">
        <v>2</v>
      </c>
      <c r="AH32" s="28">
        <f t="shared" si="19"/>
        <v>0.18523188741568464</v>
      </c>
      <c r="AI32" s="29" t="s">
        <v>97</v>
      </c>
      <c r="AJ32" s="25"/>
      <c r="AL32" s="25"/>
      <c r="AM32" s="27" t="s">
        <v>52</v>
      </c>
      <c r="AN32" s="28">
        <f t="shared" si="18"/>
        <v>0.1879149784855233</v>
      </c>
      <c r="AO32" s="27" t="s">
        <v>84</v>
      </c>
      <c r="AP32" s="28">
        <f>Q179</f>
        <v>0</v>
      </c>
      <c r="AQ32" s="25" t="s">
        <v>2</v>
      </c>
      <c r="AR32" s="28">
        <f t="shared" si="20"/>
        <v>0.1879149784855233</v>
      </c>
      <c r="AS32" s="29" t="s">
        <v>97</v>
      </c>
      <c r="AT32" s="25"/>
    </row>
    <row r="33" spans="2:46" x14ac:dyDescent="0.2">
      <c r="R33" s="25"/>
      <c r="S33" s="27"/>
      <c r="T33" s="26"/>
      <c r="U33" s="25"/>
      <c r="V33" s="25"/>
      <c r="W33" s="25"/>
      <c r="X33" s="26"/>
      <c r="Y33" s="25"/>
      <c r="Z33" s="25"/>
      <c r="AB33" s="25"/>
      <c r="AC33" s="27"/>
      <c r="AD33" s="26"/>
      <c r="AE33" s="25"/>
      <c r="AF33" s="25"/>
      <c r="AG33" s="25"/>
      <c r="AH33" s="26"/>
      <c r="AI33" s="25"/>
      <c r="AJ33" s="25"/>
      <c r="AL33" s="25"/>
      <c r="AM33" s="27"/>
      <c r="AN33" s="26"/>
      <c r="AO33" s="25"/>
      <c r="AP33" s="25"/>
      <c r="AQ33" s="25"/>
      <c r="AR33" s="26"/>
      <c r="AS33" s="25"/>
      <c r="AT33" s="25"/>
    </row>
    <row r="34" spans="2:46" ht="13.5" thickBot="1" x14ac:dyDescent="0.25">
      <c r="B34" s="84" t="s">
        <v>22</v>
      </c>
      <c r="C34" s="53"/>
      <c r="D34">
        <v>2012</v>
      </c>
      <c r="E34" s="10">
        <v>24.43</v>
      </c>
      <c r="F34" t="s">
        <v>2</v>
      </c>
      <c r="I34" s="193" t="s">
        <v>209</v>
      </c>
      <c r="J34" s="194"/>
      <c r="K34" s="194"/>
      <c r="L34" s="194"/>
      <c r="M34" s="194"/>
      <c r="N34" s="194"/>
      <c r="O34" s="194"/>
      <c r="P34" s="195"/>
      <c r="R34" s="25"/>
      <c r="S34" s="27" t="s">
        <v>42</v>
      </c>
      <c r="T34" s="28">
        <f t="shared" ref="T34:T40" si="22">T18-T26</f>
        <v>8.5361267934467833</v>
      </c>
      <c r="U34" s="27" t="s">
        <v>84</v>
      </c>
      <c r="V34" s="28">
        <f>V18</f>
        <v>26.030271701672291</v>
      </c>
      <c r="W34" s="25" t="s">
        <v>2</v>
      </c>
      <c r="X34" s="28">
        <f>T34-V34*T34/100</f>
        <v>6.3141497963133393</v>
      </c>
      <c r="Y34" s="29" t="s">
        <v>97</v>
      </c>
      <c r="Z34" s="25"/>
      <c r="AB34" s="25"/>
      <c r="AC34" s="27" t="s">
        <v>42</v>
      </c>
      <c r="AD34" s="28">
        <f t="shared" ref="AD34:AD40" si="23">AD18-AD26</f>
        <v>8.725715279569819</v>
      </c>
      <c r="AE34" s="27" t="s">
        <v>84</v>
      </c>
      <c r="AF34" s="28">
        <f>AF18</f>
        <v>36.343694104712718</v>
      </c>
      <c r="AG34" s="25" t="s">
        <v>2</v>
      </c>
      <c r="AH34" s="28">
        <f>AD34-AF34*AD34/100</f>
        <v>5.5544680099147854</v>
      </c>
      <c r="AI34" s="29" t="s">
        <v>97</v>
      </c>
      <c r="AJ34" s="25"/>
      <c r="AL34" s="25"/>
      <c r="AM34" s="27" t="s">
        <v>42</v>
      </c>
      <c r="AN34" s="28">
        <f t="shared" ref="AN34:AN40" si="24">AN18-AN26</f>
        <v>8.8521076036518451</v>
      </c>
      <c r="AO34" s="27" t="s">
        <v>84</v>
      </c>
      <c r="AP34" s="28">
        <f>AP18</f>
        <v>36.343694104712718</v>
      </c>
      <c r="AQ34" s="25" t="s">
        <v>2</v>
      </c>
      <c r="AR34" s="28">
        <f>AN34-AP34*AN34/100</f>
        <v>5.6349246943606035</v>
      </c>
      <c r="AS34" s="29" t="s">
        <v>97</v>
      </c>
      <c r="AT34" s="25"/>
    </row>
    <row r="35" spans="2:46" ht="14.25" thickTop="1" thickBot="1" x14ac:dyDescent="0.25">
      <c r="D35">
        <v>2020</v>
      </c>
      <c r="E35" s="130">
        <v>50</v>
      </c>
      <c r="F35" t="s">
        <v>2</v>
      </c>
      <c r="I35" s="183"/>
      <c r="J35" s="79"/>
      <c r="K35" s="79"/>
      <c r="L35" s="79"/>
      <c r="M35" s="79"/>
      <c r="N35" s="79"/>
      <c r="O35" s="79"/>
      <c r="P35" s="184"/>
      <c r="R35" s="25"/>
      <c r="S35" s="27" t="s">
        <v>43</v>
      </c>
      <c r="T35" s="28">
        <f t="shared" si="22"/>
        <v>0.30461970872780064</v>
      </c>
      <c r="U35" s="27" t="s">
        <v>84</v>
      </c>
      <c r="V35" s="28">
        <f>V19</f>
        <v>33.560572654849047</v>
      </c>
      <c r="W35" s="25" t="s">
        <v>2</v>
      </c>
      <c r="X35" s="28">
        <f t="shared" ref="X35:X40" si="25">T35-V35*T35/100</f>
        <v>0.20238759005921758</v>
      </c>
      <c r="Y35" s="29" t="s">
        <v>97</v>
      </c>
      <c r="Z35" s="25"/>
      <c r="AB35" s="25"/>
      <c r="AC35" s="27" t="s">
        <v>43</v>
      </c>
      <c r="AD35" s="28">
        <f t="shared" si="23"/>
        <v>0.3113853520714871</v>
      </c>
      <c r="AE35" s="27" t="s">
        <v>84</v>
      </c>
      <c r="AF35" s="28">
        <f>AF19</f>
        <v>53.092669351598708</v>
      </c>
      <c r="AG35" s="25" t="s">
        <v>2</v>
      </c>
      <c r="AH35" s="28">
        <f t="shared" ref="AH35" si="26">AD35-AF35*AD35/100</f>
        <v>0.14606255668686091</v>
      </c>
      <c r="AI35" s="29" t="s">
        <v>97</v>
      </c>
      <c r="AJ35" s="25"/>
      <c r="AL35" s="25"/>
      <c r="AM35" s="27" t="s">
        <v>43</v>
      </c>
      <c r="AN35" s="28">
        <f t="shared" si="24"/>
        <v>0.31589578096727822</v>
      </c>
      <c r="AO35" s="27" t="s">
        <v>84</v>
      </c>
      <c r="AP35" s="28">
        <f>AP19</f>
        <v>72.624766048348391</v>
      </c>
      <c r="AQ35" s="25" t="s">
        <v>2</v>
      </c>
      <c r="AR35" s="28">
        <f t="shared" ref="AR35" si="27">AN35-AP35*AN35/100</f>
        <v>8.6477209083189371E-2</v>
      </c>
      <c r="AS35" s="29" t="s">
        <v>97</v>
      </c>
      <c r="AT35" s="25"/>
    </row>
    <row r="36" spans="2:46" ht="13.5" thickTop="1" x14ac:dyDescent="0.2">
      <c r="D36">
        <v>2025</v>
      </c>
      <c r="E36" s="131">
        <v>50</v>
      </c>
      <c r="F36" t="s">
        <v>2</v>
      </c>
      <c r="I36" s="183"/>
      <c r="J36" s="81" t="s">
        <v>198</v>
      </c>
      <c r="K36" s="130">
        <v>88.788254177044905</v>
      </c>
      <c r="L36" s="79" t="s">
        <v>2</v>
      </c>
      <c r="M36" s="79"/>
      <c r="N36" s="79"/>
      <c r="O36" s="79"/>
      <c r="P36" s="184"/>
      <c r="R36" s="25"/>
      <c r="S36" s="27" t="s">
        <v>117</v>
      </c>
      <c r="T36" s="28">
        <f t="shared" si="22"/>
        <v>0.26338664922059341</v>
      </c>
      <c r="U36" s="27" t="s">
        <v>84</v>
      </c>
      <c r="V36" s="28">
        <f t="shared" ref="V36:V37" si="28">V20</f>
        <v>50.085294377419189</v>
      </c>
      <c r="W36" s="25" t="s">
        <v>2</v>
      </c>
      <c r="X36" s="28">
        <f>T36-V36*T36/100</f>
        <v>0.13146867060763875</v>
      </c>
      <c r="Y36" s="29" t="s">
        <v>97</v>
      </c>
      <c r="Z36" s="25"/>
      <c r="AB36" s="25"/>
      <c r="AC36" s="27" t="s">
        <v>117</v>
      </c>
      <c r="AD36" s="28">
        <f t="shared" si="23"/>
        <v>0.26923650095066454</v>
      </c>
      <c r="AE36" s="27" t="s">
        <v>84</v>
      </c>
      <c r="AF36" s="28">
        <f t="shared" ref="AF36:AF37" si="29">AF20</f>
        <v>59.818899334414013</v>
      </c>
      <c r="AG36" s="25" t="s">
        <v>2</v>
      </c>
      <c r="AH36" s="28">
        <f>AD36-AF36*AD36/100</f>
        <v>0.10818218947548791</v>
      </c>
      <c r="AI36" s="29" t="s">
        <v>97</v>
      </c>
      <c r="AJ36" s="25"/>
      <c r="AL36" s="25"/>
      <c r="AM36" s="27" t="s">
        <v>117</v>
      </c>
      <c r="AN36" s="28">
        <f t="shared" si="24"/>
        <v>0.27313640210404522</v>
      </c>
      <c r="AO36" s="27" t="s">
        <v>84</v>
      </c>
      <c r="AP36" s="28">
        <f t="shared" ref="AP36:AP37" si="30">AP20</f>
        <v>68.781504770975317</v>
      </c>
      <c r="AQ36" s="25" t="s">
        <v>2</v>
      </c>
      <c r="AR36" s="28">
        <f>AN36-AP36*AN36/100</f>
        <v>8.5269074659581029E-2</v>
      </c>
      <c r="AS36" s="29" t="s">
        <v>97</v>
      </c>
      <c r="AT36" s="25"/>
    </row>
    <row r="37" spans="2:46" ht="13.5" thickBot="1" x14ac:dyDescent="0.25">
      <c r="C37" s="9"/>
      <c r="D37">
        <v>2030</v>
      </c>
      <c r="E37" s="132">
        <v>50</v>
      </c>
      <c r="F37" t="s">
        <v>2</v>
      </c>
      <c r="I37" s="183"/>
      <c r="J37" s="81" t="s">
        <v>199</v>
      </c>
      <c r="K37" s="132">
        <v>11.211745822955104</v>
      </c>
      <c r="L37" s="79" t="s">
        <v>2</v>
      </c>
      <c r="M37" s="79"/>
      <c r="N37" s="79"/>
      <c r="O37" s="79"/>
      <c r="P37" s="184"/>
      <c r="R37" s="25"/>
      <c r="S37" s="27" t="s">
        <v>118</v>
      </c>
      <c r="T37" s="28">
        <f t="shared" si="22"/>
        <v>4.7984821941387978E-2</v>
      </c>
      <c r="U37" s="27" t="s">
        <v>84</v>
      </c>
      <c r="V37" s="28">
        <f t="shared" si="28"/>
        <v>31.377427838836063</v>
      </c>
      <c r="W37" s="25" t="s">
        <v>2</v>
      </c>
      <c r="X37" s="28">
        <f t="shared" ref="X37" si="31">T37-V37*T37/100</f>
        <v>3.2928419063134991E-2</v>
      </c>
      <c r="Y37" s="29" t="s">
        <v>97</v>
      </c>
      <c r="Z37" s="25"/>
      <c r="AB37" s="25"/>
      <c r="AC37" s="27" t="s">
        <v>118</v>
      </c>
      <c r="AD37" s="28">
        <f t="shared" si="23"/>
        <v>4.9050571076667326E-2</v>
      </c>
      <c r="AE37" s="27" t="s">
        <v>84</v>
      </c>
      <c r="AF37" s="28">
        <f t="shared" si="29"/>
        <v>37.475335237530274</v>
      </c>
      <c r="AG37" s="25" t="s">
        <v>2</v>
      </c>
      <c r="AH37" s="28">
        <f t="shared" ref="AH37:AH40" si="32">AD37-AF37*AD37/100</f>
        <v>3.0668705129763184E-2</v>
      </c>
      <c r="AI37" s="29" t="s">
        <v>97</v>
      </c>
      <c r="AJ37" s="25"/>
      <c r="AL37" s="25"/>
      <c r="AM37" s="27" t="s">
        <v>118</v>
      </c>
      <c r="AN37" s="28">
        <f t="shared" si="24"/>
        <v>4.9761070500187021E-2</v>
      </c>
      <c r="AO37" s="27" t="s">
        <v>84</v>
      </c>
      <c r="AP37" s="28">
        <f t="shared" si="30"/>
        <v>43.090226970311072</v>
      </c>
      <c r="AQ37" s="25" t="s">
        <v>2</v>
      </c>
      <c r="AR37" s="28">
        <f t="shared" ref="AR37:AR40" si="33">AN37-AP37*AN37/100</f>
        <v>2.8318912278799926E-2</v>
      </c>
      <c r="AS37" s="29" t="s">
        <v>97</v>
      </c>
      <c r="AT37" s="25"/>
    </row>
    <row r="38" spans="2:46" ht="13.5" thickTop="1" x14ac:dyDescent="0.2">
      <c r="E38" s="34"/>
      <c r="I38" s="183"/>
      <c r="J38" s="79"/>
      <c r="K38" s="79"/>
      <c r="L38" s="79"/>
      <c r="M38" s="79"/>
      <c r="N38" s="79"/>
      <c r="O38" s="79"/>
      <c r="P38" s="184"/>
      <c r="R38" s="25"/>
      <c r="S38" s="27" t="s">
        <v>45</v>
      </c>
      <c r="T38" s="28">
        <f t="shared" si="22"/>
        <v>13.145486096237276</v>
      </c>
      <c r="U38" s="27" t="s">
        <v>84</v>
      </c>
      <c r="V38" s="28">
        <f>V22</f>
        <v>32.993809890186753</v>
      </c>
      <c r="W38" s="25" t="s">
        <v>2</v>
      </c>
      <c r="X38" s="28">
        <f t="shared" si="25"/>
        <v>8.8082894045038174</v>
      </c>
      <c r="Y38" s="29" t="s">
        <v>97</v>
      </c>
      <c r="Z38" s="25"/>
      <c r="AB38" s="25"/>
      <c r="AC38" s="27" t="s">
        <v>45</v>
      </c>
      <c r="AD38" s="28">
        <f t="shared" si="23"/>
        <v>13.43744905187781</v>
      </c>
      <c r="AE38" s="27" t="s">
        <v>84</v>
      </c>
      <c r="AF38" s="28">
        <f>AF22</f>
        <v>36.701755613065664</v>
      </c>
      <c r="AG38" s="25" t="s">
        <v>2</v>
      </c>
      <c r="AH38" s="28">
        <f t="shared" si="32"/>
        <v>8.5056693402274064</v>
      </c>
      <c r="AI38" s="29" t="s">
        <v>97</v>
      </c>
      <c r="AJ38" s="25"/>
      <c r="AL38" s="25"/>
      <c r="AM38" s="27" t="s">
        <v>45</v>
      </c>
      <c r="AN38" s="28">
        <f t="shared" si="24"/>
        <v>13.632091022304836</v>
      </c>
      <c r="AO38" s="27" t="s">
        <v>84</v>
      </c>
      <c r="AP38" s="28">
        <f>AP22</f>
        <v>36.701755613065664</v>
      </c>
      <c r="AQ38" s="25" t="s">
        <v>2</v>
      </c>
      <c r="AR38" s="28">
        <f t="shared" si="33"/>
        <v>8.6288742903478504</v>
      </c>
      <c r="AS38" s="29" t="s">
        <v>97</v>
      </c>
      <c r="AT38" s="25"/>
    </row>
    <row r="39" spans="2:46" x14ac:dyDescent="0.2">
      <c r="E39" s="34"/>
      <c r="I39" s="183" t="str">
        <f>CONCATENATE("Of all recycled metal packaging, ",ROUND(K36,1),"% is steel packaging recycling")</f>
        <v>Of all recycled metal packaging, 88,8% is steel packaging recycling</v>
      </c>
      <c r="J39" s="79"/>
      <c r="K39" s="79"/>
      <c r="L39" s="79"/>
      <c r="M39" s="79"/>
      <c r="N39" s="79"/>
      <c r="O39" s="79"/>
      <c r="P39" s="184"/>
      <c r="R39" s="25"/>
      <c r="S39" s="27" t="s">
        <v>108</v>
      </c>
      <c r="T39" s="28">
        <f t="shared" si="22"/>
        <v>5.2626632262310402E-2</v>
      </c>
      <c r="U39" s="27" t="s">
        <v>84</v>
      </c>
      <c r="V39" s="28">
        <f>V23</f>
        <v>0</v>
      </c>
      <c r="W39" s="25" t="s">
        <v>2</v>
      </c>
      <c r="X39" s="28">
        <f t="shared" si="25"/>
        <v>5.2626632262310402E-2</v>
      </c>
      <c r="Y39" s="29" t="s">
        <v>97</v>
      </c>
      <c r="Z39" s="25"/>
      <c r="AB39" s="25"/>
      <c r="AC39" s="27" t="s">
        <v>108</v>
      </c>
      <c r="AD39" s="28">
        <f t="shared" si="23"/>
        <v>5.3795476608440085E-2</v>
      </c>
      <c r="AE39" s="27" t="s">
        <v>84</v>
      </c>
      <c r="AF39" s="28">
        <f>AF23</f>
        <v>0</v>
      </c>
      <c r="AG39" s="25" t="s">
        <v>2</v>
      </c>
      <c r="AH39" s="28">
        <f t="shared" si="32"/>
        <v>5.3795476608440085E-2</v>
      </c>
      <c r="AI39" s="29" t="s">
        <v>97</v>
      </c>
      <c r="AJ39" s="25"/>
      <c r="AL39" s="25"/>
      <c r="AM39" s="27" t="s">
        <v>108</v>
      </c>
      <c r="AN39" s="28">
        <f t="shared" si="24"/>
        <v>5.4574706172526355E-2</v>
      </c>
      <c r="AO39" s="27" t="s">
        <v>84</v>
      </c>
      <c r="AP39" s="28">
        <f>AP23</f>
        <v>0</v>
      </c>
      <c r="AQ39" s="25" t="s">
        <v>2</v>
      </c>
      <c r="AR39" s="28">
        <f t="shared" si="33"/>
        <v>5.4574706172526355E-2</v>
      </c>
      <c r="AS39" s="29" t="s">
        <v>97</v>
      </c>
      <c r="AT39" s="25"/>
    </row>
    <row r="40" spans="2:46" x14ac:dyDescent="0.2">
      <c r="E40" s="34"/>
      <c r="I40" s="183" t="s">
        <v>200</v>
      </c>
      <c r="J40" s="79"/>
      <c r="K40" s="79"/>
      <c r="L40" s="79"/>
      <c r="M40" s="79"/>
      <c r="N40" s="79"/>
      <c r="O40" s="79"/>
      <c r="P40" s="184"/>
      <c r="R40" s="25"/>
      <c r="S40" s="27" t="s">
        <v>96</v>
      </c>
      <c r="T40" s="28">
        <f t="shared" si="22"/>
        <v>9.2677329971476468</v>
      </c>
      <c r="U40" s="27" t="s">
        <v>84</v>
      </c>
      <c r="V40" s="28">
        <v>0</v>
      </c>
      <c r="W40" s="25" t="s">
        <v>2</v>
      </c>
      <c r="X40" s="28">
        <f t="shared" si="25"/>
        <v>9.2677329971476468</v>
      </c>
      <c r="Y40" s="29" t="s">
        <v>97</v>
      </c>
      <c r="Z40" s="25"/>
      <c r="AB40" s="25"/>
      <c r="AC40" s="27" t="s">
        <v>96</v>
      </c>
      <c r="AD40" s="28">
        <f t="shared" si="23"/>
        <v>9.4735705521931823</v>
      </c>
      <c r="AE40" s="27" t="s">
        <v>84</v>
      </c>
      <c r="AF40" s="28">
        <v>0</v>
      </c>
      <c r="AG40" s="25" t="s">
        <v>2</v>
      </c>
      <c r="AH40" s="28">
        <f t="shared" si="32"/>
        <v>9.4735705521931823</v>
      </c>
      <c r="AI40" s="29" t="s">
        <v>97</v>
      </c>
      <c r="AJ40" s="25"/>
      <c r="AL40" s="25"/>
      <c r="AM40" s="27" t="s">
        <v>96</v>
      </c>
      <c r="AN40" s="28">
        <f t="shared" si="24"/>
        <v>9.6107955888902055</v>
      </c>
      <c r="AO40" s="27" t="s">
        <v>84</v>
      </c>
      <c r="AP40" s="28">
        <v>0</v>
      </c>
      <c r="AQ40" s="25" t="s">
        <v>2</v>
      </c>
      <c r="AR40" s="28">
        <f t="shared" si="33"/>
        <v>9.6107955888902055</v>
      </c>
      <c r="AS40" s="29" t="s">
        <v>97</v>
      </c>
      <c r="AT40" s="25"/>
    </row>
    <row r="41" spans="2:46" ht="13.5" thickBot="1" x14ac:dyDescent="0.25">
      <c r="E41" s="10"/>
      <c r="I41" s="183"/>
      <c r="J41" s="79"/>
      <c r="K41" s="79"/>
      <c r="L41" s="79"/>
      <c r="M41" s="79"/>
      <c r="N41" s="79"/>
      <c r="O41" s="79"/>
      <c r="P41" s="184"/>
      <c r="R41" s="25"/>
      <c r="S41" s="25"/>
      <c r="T41" s="26"/>
      <c r="U41" s="25"/>
      <c r="V41" s="25"/>
      <c r="W41" s="25"/>
      <c r="X41" s="26"/>
      <c r="Y41" s="25"/>
      <c r="Z41" s="25"/>
      <c r="AB41" s="25"/>
      <c r="AC41" s="25"/>
      <c r="AD41" s="26"/>
      <c r="AE41" s="25"/>
      <c r="AF41" s="25"/>
      <c r="AG41" s="25"/>
      <c r="AH41" s="26"/>
      <c r="AI41" s="25"/>
      <c r="AJ41" s="25"/>
      <c r="AL41" s="25"/>
      <c r="AM41" s="25"/>
      <c r="AN41" s="26"/>
      <c r="AO41" s="25"/>
      <c r="AP41" s="25"/>
      <c r="AQ41" s="25"/>
      <c r="AR41" s="26"/>
      <c r="AS41" s="25"/>
      <c r="AT41" s="25"/>
    </row>
    <row r="42" spans="2:46" ht="13.5" thickTop="1" x14ac:dyDescent="0.2">
      <c r="B42" s="84" t="s">
        <v>61</v>
      </c>
      <c r="C42" s="53"/>
      <c r="E42" s="10"/>
      <c r="I42" s="183"/>
      <c r="J42" s="81" t="s">
        <v>204</v>
      </c>
      <c r="K42" s="130">
        <v>84.589204090433412</v>
      </c>
      <c r="L42" s="79" t="s">
        <v>2</v>
      </c>
      <c r="M42" s="79"/>
      <c r="N42" s="79"/>
      <c r="O42" s="79"/>
      <c r="P42" s="184"/>
      <c r="R42" s="25"/>
      <c r="S42" s="27" t="s">
        <v>47</v>
      </c>
      <c r="T42" s="28">
        <f>$T$16*H150/100</f>
        <v>1.3359309652142199</v>
      </c>
      <c r="U42" s="27" t="s">
        <v>84</v>
      </c>
      <c r="V42" s="28">
        <f>+V26</f>
        <v>16.271461568041236</v>
      </c>
      <c r="W42" s="25" t="s">
        <v>2</v>
      </c>
      <c r="X42" s="25"/>
      <c r="Y42" s="28">
        <f>T42-V42*T42/100</f>
        <v>1.1185554716338257</v>
      </c>
      <c r="Z42" s="25"/>
      <c r="AB42" s="25"/>
      <c r="AC42" s="27" t="s">
        <v>47</v>
      </c>
      <c r="AD42" s="28">
        <f>$AD$16*H150/100</f>
        <v>1.4673012657278093</v>
      </c>
      <c r="AE42" s="27" t="s">
        <v>84</v>
      </c>
      <c r="AF42" s="28">
        <f>+AF26</f>
        <v>39.106517504029995</v>
      </c>
      <c r="AG42" s="25" t="s">
        <v>2</v>
      </c>
      <c r="AH42" s="25"/>
      <c r="AI42" s="28">
        <f>AD42-AF42*AD42/100</f>
        <v>0.89349083940910989</v>
      </c>
      <c r="AJ42" s="25"/>
      <c r="AL42" s="25"/>
      <c r="AM42" s="27" t="s">
        <v>47</v>
      </c>
      <c r="AN42" s="28">
        <f>$AN$16*H150/100</f>
        <v>1.6115900151032105</v>
      </c>
      <c r="AO42" s="27" t="s">
        <v>84</v>
      </c>
      <c r="AP42" s="28">
        <f>+AP26</f>
        <v>39.106517504029995</v>
      </c>
      <c r="AQ42" s="25" t="s">
        <v>2</v>
      </c>
      <c r="AR42" s="25"/>
      <c r="AS42" s="28">
        <f>AN42-AP42*AN42/100</f>
        <v>0.98135328375367381</v>
      </c>
      <c r="AT42" s="25"/>
    </row>
    <row r="43" spans="2:46" ht="13.5" thickBot="1" x14ac:dyDescent="0.25">
      <c r="D43">
        <v>2012</v>
      </c>
      <c r="E43">
        <v>2020</v>
      </c>
      <c r="F43">
        <v>2025</v>
      </c>
      <c r="G43">
        <v>2030</v>
      </c>
      <c r="I43" s="183"/>
      <c r="J43" s="81" t="s">
        <v>205</v>
      </c>
      <c r="K43" s="132">
        <v>15.410795909566593</v>
      </c>
      <c r="L43" s="79" t="s">
        <v>2</v>
      </c>
      <c r="M43" s="79"/>
      <c r="N43" s="79"/>
      <c r="O43" s="79"/>
      <c r="P43" s="184"/>
      <c r="R43" s="25"/>
      <c r="S43" s="27" t="s">
        <v>49</v>
      </c>
      <c r="T43" s="28">
        <f>$T$16*H151/100</f>
        <v>0</v>
      </c>
      <c r="U43" s="27" t="s">
        <v>84</v>
      </c>
      <c r="V43" s="28">
        <f t="shared" ref="V43:V48" si="34">+V27</f>
        <v>0</v>
      </c>
      <c r="W43" s="25" t="s">
        <v>2</v>
      </c>
      <c r="X43" s="25"/>
      <c r="Y43" s="28">
        <f>T43-V43*T43/100</f>
        <v>0</v>
      </c>
      <c r="Z43" s="25"/>
      <c r="AB43" s="25"/>
      <c r="AC43" s="27" t="s">
        <v>49</v>
      </c>
      <c r="AD43" s="28">
        <f t="shared" ref="AD43" si="35">$AD$16*H151/100</f>
        <v>0</v>
      </c>
      <c r="AE43" s="27" t="s">
        <v>84</v>
      </c>
      <c r="AF43" s="28">
        <f t="shared" ref="AF43:AF48" si="36">+AF27</f>
        <v>30.645645813085515</v>
      </c>
      <c r="AG43" s="25" t="s">
        <v>2</v>
      </c>
      <c r="AH43" s="25"/>
      <c r="AI43" s="28">
        <f>AD43-AF43*AD43/100</f>
        <v>0</v>
      </c>
      <c r="AJ43" s="25"/>
      <c r="AL43" s="25"/>
      <c r="AM43" s="27" t="s">
        <v>49</v>
      </c>
      <c r="AN43" s="28">
        <f t="shared" ref="AN43" si="37">$AN$16*H151/100</f>
        <v>0</v>
      </c>
      <c r="AO43" s="27" t="s">
        <v>84</v>
      </c>
      <c r="AP43" s="28">
        <f t="shared" ref="AP43:AP48" si="38">+AP27</f>
        <v>65.322822906542754</v>
      </c>
      <c r="AQ43" s="25" t="s">
        <v>2</v>
      </c>
      <c r="AR43" s="25"/>
      <c r="AS43" s="28">
        <f>AN43-AP43*AN43/100</f>
        <v>0</v>
      </c>
      <c r="AT43" s="25"/>
    </row>
    <row r="44" spans="2:46" ht="13.5" thickTop="1" x14ac:dyDescent="0.2">
      <c r="C44" t="s">
        <v>62</v>
      </c>
      <c r="D44" s="10">
        <f>'option 3.1 higher MSW recycling'!D44</f>
        <v>7.1411729039646969</v>
      </c>
      <c r="E44" s="34">
        <v>31.312577896048779</v>
      </c>
      <c r="F44" s="10">
        <v>40.889500972971859</v>
      </c>
      <c r="G44" s="10">
        <v>40.889500972971859</v>
      </c>
      <c r="I44" s="183"/>
      <c r="J44" s="79"/>
      <c r="K44" s="79"/>
      <c r="L44" s="79"/>
      <c r="M44" s="79"/>
      <c r="N44" s="79"/>
      <c r="O44" s="79"/>
      <c r="P44" s="184"/>
      <c r="R44" s="25"/>
      <c r="S44" s="27" t="s">
        <v>121</v>
      </c>
      <c r="T44" s="28">
        <f>$T$16*H153/100</f>
        <v>1.0099195535790792E-2</v>
      </c>
      <c r="U44" s="27" t="s">
        <v>84</v>
      </c>
      <c r="V44" s="28">
        <f t="shared" si="34"/>
        <v>0</v>
      </c>
      <c r="W44" s="25" t="s">
        <v>2</v>
      </c>
      <c r="X44" s="25"/>
      <c r="Y44" s="28">
        <f t="shared" ref="Y44:Y47" si="39">T44-V44*T44/100</f>
        <v>1.0099195535790792E-2</v>
      </c>
      <c r="Z44" s="25"/>
      <c r="AB44" s="25"/>
      <c r="AC44" s="27" t="s">
        <v>121</v>
      </c>
      <c r="AD44" s="28">
        <f>$AD$16*H153/100</f>
        <v>1.1092311487908567E-2</v>
      </c>
      <c r="AE44" s="27" t="s">
        <v>84</v>
      </c>
      <c r="AF44" s="28">
        <f t="shared" si="36"/>
        <v>20.281904133418234</v>
      </c>
      <c r="AG44" s="25" t="s">
        <v>2</v>
      </c>
      <c r="AH44" s="25"/>
      <c r="AI44" s="28">
        <f t="shared" ref="AI44:AI47" si="40">AD44-AF44*AD44/100</f>
        <v>8.8425795057508125E-3</v>
      </c>
      <c r="AJ44" s="25"/>
      <c r="AL44" s="25"/>
      <c r="AM44" s="27" t="s">
        <v>121</v>
      </c>
      <c r="AN44" s="28">
        <f>$AN$16*H153/100</f>
        <v>1.2183086633855738E-2</v>
      </c>
      <c r="AO44" s="27" t="s">
        <v>84</v>
      </c>
      <c r="AP44" s="28">
        <f t="shared" si="38"/>
        <v>60.140952066709119</v>
      </c>
      <c r="AQ44" s="25" t="s">
        <v>2</v>
      </c>
      <c r="AR44" s="25"/>
      <c r="AS44" s="28">
        <f t="shared" ref="AS44:AS47" si="41">AN44-AP44*AN44/100</f>
        <v>4.8560623411429129E-3</v>
      </c>
      <c r="AT44" s="25"/>
    </row>
    <row r="45" spans="2:46" x14ac:dyDescent="0.2">
      <c r="C45" t="s">
        <v>63</v>
      </c>
      <c r="D45" s="10">
        <f>'option 3.1 higher MSW recycling'!D45</f>
        <v>52.817731667059654</v>
      </c>
      <c r="E45" s="34">
        <v>68.652371111141932</v>
      </c>
      <c r="F45" s="10">
        <v>77.868057385651738</v>
      </c>
      <c r="G45" s="10">
        <v>87.083743660161545</v>
      </c>
      <c r="I45" s="183" t="str">
        <f>CONCATENATE("Of all generated metal packaging, ",ROUND(K42,1),"% is steel packaging")</f>
        <v>Of all generated metal packaging, 84,6% is steel packaging</v>
      </c>
      <c r="J45" s="79"/>
      <c r="K45" s="79"/>
      <c r="L45" s="79"/>
      <c r="M45" s="79"/>
      <c r="N45" s="79"/>
      <c r="O45" s="79"/>
      <c r="P45" s="184"/>
      <c r="R45" s="25"/>
      <c r="S45" s="27" t="s">
        <v>122</v>
      </c>
      <c r="T45" s="28">
        <f>$T$16*H154/100</f>
        <v>1.8399114039007679E-3</v>
      </c>
      <c r="U45" s="27" t="s">
        <v>84</v>
      </c>
      <c r="V45" s="28">
        <f t="shared" si="34"/>
        <v>65.489356660145219</v>
      </c>
      <c r="W45" s="25" t="s">
        <v>2</v>
      </c>
      <c r="X45" s="25"/>
      <c r="Y45" s="28">
        <f t="shared" si="39"/>
        <v>6.3496526236950885E-4</v>
      </c>
      <c r="Z45" s="25"/>
      <c r="AB45" s="25"/>
      <c r="AC45" s="27" t="s">
        <v>122</v>
      </c>
      <c r="AD45" s="28">
        <f t="shared" ref="AD45:AD48" si="42">$AD$16*H154/100</f>
        <v>2.0208411976869803E-3</v>
      </c>
      <c r="AE45" s="27" t="s">
        <v>84</v>
      </c>
      <c r="AF45" s="28">
        <f t="shared" si="36"/>
        <v>76.992904440096808</v>
      </c>
      <c r="AG45" s="25" t="s">
        <v>2</v>
      </c>
      <c r="AH45" s="25"/>
      <c r="AI45" s="28">
        <f t="shared" si="40"/>
        <v>4.6493686546573575E-4</v>
      </c>
      <c r="AJ45" s="25"/>
      <c r="AL45" s="25"/>
      <c r="AM45" s="27" t="s">
        <v>122</v>
      </c>
      <c r="AN45" s="28">
        <f t="shared" ref="AN45:AN48" si="43">$AN$16*H154/100</f>
        <v>2.2195629298296365E-3</v>
      </c>
      <c r="AO45" s="27" t="s">
        <v>84</v>
      </c>
      <c r="AP45" s="28">
        <f t="shared" si="38"/>
        <v>76.992904440096808</v>
      </c>
      <c r="AQ45" s="25" t="s">
        <v>2</v>
      </c>
      <c r="AR45" s="25"/>
      <c r="AS45" s="28">
        <f t="shared" si="41"/>
        <v>5.1065696427809136E-4</v>
      </c>
      <c r="AT45" s="25"/>
    </row>
    <row r="46" spans="2:46" x14ac:dyDescent="0.2">
      <c r="C46" s="203" t="s">
        <v>64</v>
      </c>
      <c r="D46" s="206">
        <f>'option 3.1 higher MSW recycling'!D46</f>
        <v>24.522518273991984</v>
      </c>
      <c r="E46" s="206">
        <v>59.956960588848816</v>
      </c>
      <c r="F46" s="206">
        <v>66.843310517536409</v>
      </c>
      <c r="G46" s="206">
        <v>73.184192193093395</v>
      </c>
      <c r="I46" s="183" t="s">
        <v>200</v>
      </c>
      <c r="J46" s="79"/>
      <c r="K46" s="79"/>
      <c r="L46" s="79"/>
      <c r="M46" s="79"/>
      <c r="N46" s="79"/>
      <c r="O46" s="79"/>
      <c r="P46" s="184"/>
      <c r="R46" s="25"/>
      <c r="S46" s="27" t="s">
        <v>51</v>
      </c>
      <c r="T46" s="28">
        <f>$T$16*H155/100</f>
        <v>0.15051873476122818</v>
      </c>
      <c r="U46" s="27" t="s">
        <v>84</v>
      </c>
      <c r="V46" s="28">
        <f t="shared" si="34"/>
        <v>11.989711536792784</v>
      </c>
      <c r="W46" s="25" t="s">
        <v>2</v>
      </c>
      <c r="X46" s="25"/>
      <c r="Y46" s="28">
        <f t="shared" si="39"/>
        <v>0.13247197265452668</v>
      </c>
      <c r="Z46" s="25"/>
      <c r="AB46" s="25"/>
      <c r="AC46" s="27" t="s">
        <v>51</v>
      </c>
      <c r="AD46" s="28">
        <f t="shared" si="42"/>
        <v>0.16532016682125761</v>
      </c>
      <c r="AE46" s="27" t="s">
        <v>84</v>
      </c>
      <c r="AF46" s="28">
        <f t="shared" si="36"/>
        <v>41.326474357861855</v>
      </c>
      <c r="AG46" s="25" t="s">
        <v>2</v>
      </c>
      <c r="AH46" s="25"/>
      <c r="AI46" s="28">
        <f t="shared" si="40"/>
        <v>9.6999170471496143E-2</v>
      </c>
      <c r="AJ46" s="25"/>
      <c r="AL46" s="25"/>
      <c r="AM46" s="27" t="s">
        <v>51</v>
      </c>
      <c r="AN46" s="28">
        <f t="shared" si="43"/>
        <v>0.1815771146439939</v>
      </c>
      <c r="AO46" s="27" t="s">
        <v>84</v>
      </c>
      <c r="AP46" s="28">
        <f t="shared" si="38"/>
        <v>41.326474357861855</v>
      </c>
      <c r="AQ46" s="25" t="s">
        <v>2</v>
      </c>
      <c r="AR46" s="25"/>
      <c r="AS46" s="28">
        <f t="shared" si="41"/>
        <v>0.10653769492089835</v>
      </c>
      <c r="AT46" s="25"/>
    </row>
    <row r="47" spans="2:46" x14ac:dyDescent="0.2">
      <c r="C47" t="s">
        <v>113</v>
      </c>
      <c r="D47" s="10">
        <f>I55</f>
        <v>25.739828255680099</v>
      </c>
      <c r="E47" s="57">
        <f t="shared" ref="E47:G48" si="44">N55</f>
        <v>62.933253878999786</v>
      </c>
      <c r="F47" s="10">
        <f t="shared" si="44"/>
        <v>70.161445636977774</v>
      </c>
      <c r="G47" s="10">
        <f t="shared" si="44"/>
        <v>76.817091826933961</v>
      </c>
      <c r="I47" s="183"/>
      <c r="J47" s="79"/>
      <c r="K47" s="79"/>
      <c r="L47" s="79"/>
      <c r="M47" s="79"/>
      <c r="N47" s="79"/>
      <c r="O47" s="79"/>
      <c r="P47" s="184"/>
      <c r="R47" s="25"/>
      <c r="S47" s="27" t="s">
        <v>109</v>
      </c>
      <c r="T47" s="28">
        <f>$T$16*H156/100</f>
        <v>0.23914279374255001</v>
      </c>
      <c r="U47" s="27" t="s">
        <v>84</v>
      </c>
      <c r="V47" s="28">
        <f t="shared" si="34"/>
        <v>19.759364714446594</v>
      </c>
      <c r="W47" s="25" t="s">
        <v>2</v>
      </c>
      <c r="X47" s="25"/>
      <c r="Y47" s="28">
        <f t="shared" si="39"/>
        <v>0.19188969693864277</v>
      </c>
      <c r="Z47" s="25"/>
      <c r="AB47" s="25"/>
      <c r="AC47" s="27" t="s">
        <v>109</v>
      </c>
      <c r="AD47" s="28">
        <f t="shared" si="42"/>
        <v>0.2626591740778022</v>
      </c>
      <c r="AE47" s="27" t="s">
        <v>84</v>
      </c>
      <c r="AF47" s="28">
        <f t="shared" si="36"/>
        <v>43.831555300112619</v>
      </c>
      <c r="AG47" s="25" t="s">
        <v>2</v>
      </c>
      <c r="AH47" s="25"/>
      <c r="AI47" s="28">
        <f t="shared" si="40"/>
        <v>0.14753157294107128</v>
      </c>
      <c r="AJ47" s="25"/>
      <c r="AL47" s="25"/>
      <c r="AM47" s="27" t="s">
        <v>109</v>
      </c>
      <c r="AN47" s="28">
        <f t="shared" si="43"/>
        <v>0.28848806458916104</v>
      </c>
      <c r="AO47" s="27" t="s">
        <v>84</v>
      </c>
      <c r="AP47" s="28">
        <f t="shared" si="38"/>
        <v>67.903745885778633</v>
      </c>
      <c r="AQ47" s="25" t="s">
        <v>2</v>
      </c>
      <c r="AR47" s="25"/>
      <c r="AS47" s="28">
        <f t="shared" si="41"/>
        <v>9.2593862299736207E-2</v>
      </c>
      <c r="AT47" s="25"/>
    </row>
    <row r="48" spans="2:46" x14ac:dyDescent="0.2">
      <c r="C48" t="s">
        <v>114</v>
      </c>
      <c r="D48" s="10">
        <f>I56</f>
        <v>17.840755496352696</v>
      </c>
      <c r="E48" s="57">
        <f t="shared" si="44"/>
        <v>43.620213153417517</v>
      </c>
      <c r="F48" s="10">
        <f t="shared" si="44"/>
        <v>48.63020780271669</v>
      </c>
      <c r="G48" s="10">
        <f t="shared" si="44"/>
        <v>53.243360430067142</v>
      </c>
      <c r="I48" s="183">
        <v>2012</v>
      </c>
      <c r="J48" s="79"/>
      <c r="K48" s="79"/>
      <c r="L48" s="79"/>
      <c r="M48" s="79"/>
      <c r="N48" s="79">
        <v>2020</v>
      </c>
      <c r="O48" s="79">
        <v>2025</v>
      </c>
      <c r="P48" s="184">
        <v>2030</v>
      </c>
      <c r="R48" s="25"/>
      <c r="S48" s="27" t="s">
        <v>83</v>
      </c>
      <c r="T48" s="28">
        <f>$T$16*H157/100</f>
        <v>1.4131052125495168E-2</v>
      </c>
      <c r="U48" s="27" t="s">
        <v>84</v>
      </c>
      <c r="V48" s="28">
        <f t="shared" si="34"/>
        <v>0</v>
      </c>
      <c r="W48" s="25" t="s">
        <v>2</v>
      </c>
      <c r="X48" s="25"/>
      <c r="Y48" s="28">
        <f>T48-V47*T48/100</f>
        <v>1.133884599803002E-2</v>
      </c>
      <c r="Z48" s="25"/>
      <c r="AB48" s="25"/>
      <c r="AC48" s="27" t="s">
        <v>83</v>
      </c>
      <c r="AD48" s="28">
        <f t="shared" si="42"/>
        <v>1.5520645310051541E-2</v>
      </c>
      <c r="AE48" s="27" t="s">
        <v>84</v>
      </c>
      <c r="AF48" s="28">
        <f t="shared" si="36"/>
        <v>0</v>
      </c>
      <c r="AG48" s="25" t="s">
        <v>2</v>
      </c>
      <c r="AH48" s="25"/>
      <c r="AI48" s="28">
        <f>AD48-AF47*AD48/100</f>
        <v>8.7177050780419645E-3</v>
      </c>
      <c r="AJ48" s="25"/>
      <c r="AL48" s="25"/>
      <c r="AM48" s="27" t="s">
        <v>83</v>
      </c>
      <c r="AN48" s="28">
        <f t="shared" si="43"/>
        <v>1.7046885730879986E-2</v>
      </c>
      <c r="AO48" s="27" t="s">
        <v>84</v>
      </c>
      <c r="AP48" s="28">
        <f t="shared" si="38"/>
        <v>0</v>
      </c>
      <c r="AQ48" s="25" t="s">
        <v>2</v>
      </c>
      <c r="AR48" s="25"/>
      <c r="AS48" s="28">
        <f>AN48-AP47*AN48/100</f>
        <v>5.4714117627441827E-3</v>
      </c>
      <c r="AT48" s="25"/>
    </row>
    <row r="49" spans="2:46" x14ac:dyDescent="0.2">
      <c r="C49" t="s">
        <v>65</v>
      </c>
      <c r="D49" s="10">
        <f>'option 3.1 higher MSW recycling'!D47</f>
        <v>40.509313841075219</v>
      </c>
      <c r="E49" s="34">
        <v>60.137557734718506</v>
      </c>
      <c r="F49" s="10">
        <v>62.343440087659673</v>
      </c>
      <c r="G49" s="10">
        <v>62.343440087659673</v>
      </c>
      <c r="I49" s="178">
        <v>100</v>
      </c>
      <c r="J49" s="79" t="s">
        <v>76</v>
      </c>
      <c r="K49" s="79"/>
      <c r="L49" s="79"/>
      <c r="M49" s="79"/>
      <c r="N49" s="134"/>
      <c r="O49" s="79"/>
      <c r="P49" s="184"/>
      <c r="R49" s="25"/>
      <c r="S49" s="25"/>
      <c r="T49" s="26"/>
      <c r="U49" s="25"/>
      <c r="V49" s="25"/>
      <c r="W49" s="25"/>
      <c r="X49" s="26"/>
      <c r="Y49" s="26"/>
      <c r="Z49" s="25"/>
      <c r="AB49" s="25"/>
      <c r="AC49" s="25"/>
      <c r="AD49" s="26"/>
      <c r="AE49" s="25"/>
      <c r="AF49" s="25"/>
      <c r="AG49" s="25"/>
      <c r="AH49" s="26"/>
      <c r="AI49" s="26"/>
      <c r="AJ49" s="25"/>
      <c r="AL49" s="25"/>
      <c r="AM49" s="25"/>
      <c r="AN49" s="26"/>
      <c r="AO49" s="25"/>
      <c r="AP49" s="25"/>
      <c r="AQ49" s="25"/>
      <c r="AR49" s="26"/>
      <c r="AS49" s="26"/>
      <c r="AT49" s="25"/>
    </row>
    <row r="50" spans="2:46" x14ac:dyDescent="0.2">
      <c r="E50" s="10"/>
      <c r="I50" s="178">
        <f>K42</f>
        <v>84.589204090433412</v>
      </c>
      <c r="J50" s="79" t="s">
        <v>113</v>
      </c>
      <c r="K50" s="79"/>
      <c r="L50" s="79"/>
      <c r="M50" s="79"/>
      <c r="N50" s="79"/>
      <c r="O50" s="79"/>
      <c r="P50" s="184"/>
      <c r="R50" s="25"/>
      <c r="S50" s="27" t="s">
        <v>91</v>
      </c>
      <c r="T50" s="28">
        <f>T12-T16</f>
        <v>22.009433535783703</v>
      </c>
      <c r="U50" s="27" t="s">
        <v>84</v>
      </c>
      <c r="V50" s="28">
        <v>0</v>
      </c>
      <c r="W50" s="25" t="s">
        <v>2</v>
      </c>
      <c r="X50" s="26"/>
      <c r="Y50" s="28">
        <f t="shared" ref="Y50" si="45">T50-V50*T50/100</f>
        <v>22.009433535783703</v>
      </c>
      <c r="Z50" s="25"/>
      <c r="AB50" s="25"/>
      <c r="AC50" s="27" t="s">
        <v>91</v>
      </c>
      <c r="AD50" s="28">
        <f>AD12-AD16</f>
        <v>24.173756373578051</v>
      </c>
      <c r="AE50" s="27" t="s">
        <v>84</v>
      </c>
      <c r="AF50" s="28">
        <v>0</v>
      </c>
      <c r="AG50" s="25" t="s">
        <v>2</v>
      </c>
      <c r="AH50" s="26"/>
      <c r="AI50" s="28">
        <f t="shared" ref="AI50" si="46">AD50-AF50*AD50/100</f>
        <v>24.173756373578051</v>
      </c>
      <c r="AJ50" s="25"/>
      <c r="AL50" s="25"/>
      <c r="AM50" s="27" t="s">
        <v>91</v>
      </c>
      <c r="AN50" s="28">
        <f>AN12-AN16</f>
        <v>26.550910374817935</v>
      </c>
      <c r="AO50" s="27" t="s">
        <v>84</v>
      </c>
      <c r="AP50" s="28">
        <v>0</v>
      </c>
      <c r="AQ50" s="25" t="s">
        <v>2</v>
      </c>
      <c r="AR50" s="26"/>
      <c r="AS50" s="28">
        <f t="shared" ref="AS50" si="47">AN50-AP50*AN50/100</f>
        <v>26.550910374817935</v>
      </c>
      <c r="AT50" s="25"/>
    </row>
    <row r="51" spans="2:46" x14ac:dyDescent="0.2">
      <c r="B51" t="s">
        <v>23</v>
      </c>
      <c r="E51" s="10"/>
      <c r="I51" s="178">
        <f>K43</f>
        <v>15.410795909566593</v>
      </c>
      <c r="J51" s="79" t="s">
        <v>206</v>
      </c>
      <c r="K51" s="79"/>
      <c r="L51" s="79"/>
      <c r="M51" s="79"/>
      <c r="N51" s="79"/>
      <c r="O51" s="79"/>
      <c r="P51" s="184"/>
      <c r="R51" s="25"/>
      <c r="S51" s="25"/>
      <c r="T51" s="26"/>
      <c r="U51" s="25"/>
      <c r="V51" s="25"/>
      <c r="W51" s="25"/>
      <c r="X51" s="25"/>
      <c r="Y51" s="25"/>
      <c r="Z51" s="25"/>
      <c r="AB51" s="25"/>
      <c r="AC51" s="25"/>
      <c r="AD51" s="26"/>
      <c r="AE51" s="25"/>
      <c r="AF51" s="25"/>
      <c r="AG51" s="25"/>
      <c r="AH51" s="25"/>
      <c r="AI51" s="25"/>
      <c r="AJ51" s="25"/>
      <c r="AL51" s="25"/>
      <c r="AM51" s="25"/>
      <c r="AN51" s="26"/>
      <c r="AO51" s="25"/>
      <c r="AP51" s="25"/>
      <c r="AQ51" s="25"/>
      <c r="AR51" s="25"/>
      <c r="AS51" s="25"/>
      <c r="AT51" s="25"/>
    </row>
    <row r="52" spans="2:46" ht="13.5" thickBot="1" x14ac:dyDescent="0.25">
      <c r="C52" t="str">
        <f>C44</f>
        <v>plastic</v>
      </c>
      <c r="D52" s="10">
        <f t="shared" ref="D52:D57" si="48">100-D44</f>
        <v>92.858827096035299</v>
      </c>
      <c r="E52" s="10">
        <f t="shared" ref="E52:G54" si="49">100-E44</f>
        <v>68.687422103951221</v>
      </c>
      <c r="F52" s="10">
        <f>100-F44</f>
        <v>59.110499027028141</v>
      </c>
      <c r="G52" s="10">
        <f>100-G44</f>
        <v>59.110499027028141</v>
      </c>
      <c r="I52" s="178">
        <f>D46</f>
        <v>24.522518273991984</v>
      </c>
      <c r="J52" s="79" t="s">
        <v>201</v>
      </c>
      <c r="K52" s="79"/>
      <c r="L52" s="79"/>
      <c r="M52" s="79"/>
      <c r="N52" s="134">
        <f>E46</f>
        <v>59.956960588848816</v>
      </c>
      <c r="O52" s="134">
        <f>F46</f>
        <v>66.843310517536409</v>
      </c>
      <c r="P52" s="196">
        <f>G46</f>
        <v>73.184192193093395</v>
      </c>
      <c r="R52" s="25"/>
      <c r="S52" s="25"/>
      <c r="T52" s="26"/>
      <c r="U52" s="25"/>
      <c r="V52" s="25"/>
      <c r="W52" s="25"/>
      <c r="X52" s="25"/>
      <c r="Y52" s="25"/>
      <c r="Z52" s="25"/>
      <c r="AB52" s="25"/>
      <c r="AC52" s="25"/>
      <c r="AD52" s="26"/>
      <c r="AE52" s="25"/>
      <c r="AF52" s="25"/>
      <c r="AG52" s="25"/>
      <c r="AH52" s="25"/>
      <c r="AI52" s="25"/>
      <c r="AJ52" s="25"/>
      <c r="AL52" s="25"/>
      <c r="AM52" s="25"/>
      <c r="AN52" s="26"/>
      <c r="AO52" s="25"/>
      <c r="AP52" s="25"/>
      <c r="AQ52" s="25"/>
      <c r="AR52" s="25"/>
      <c r="AS52" s="25"/>
      <c r="AT52" s="25"/>
    </row>
    <row r="53" spans="2:46" ht="13.5" thickBot="1" x14ac:dyDescent="0.25">
      <c r="C53" t="str">
        <f>C45</f>
        <v>glass</v>
      </c>
      <c r="D53" s="10">
        <f t="shared" si="48"/>
        <v>47.182268332940346</v>
      </c>
      <c r="E53" s="10">
        <f t="shared" si="49"/>
        <v>31.347628888858068</v>
      </c>
      <c r="F53" s="10">
        <f t="shared" si="49"/>
        <v>22.131942614348262</v>
      </c>
      <c r="G53" s="10">
        <f t="shared" si="49"/>
        <v>12.916256339838455</v>
      </c>
      <c r="I53" s="178">
        <f>I52*$K$36/100</f>
        <v>21.773115855724285</v>
      </c>
      <c r="J53" s="79" t="s">
        <v>202</v>
      </c>
      <c r="K53" s="79"/>
      <c r="L53" s="79"/>
      <c r="M53" s="79"/>
      <c r="N53" s="134">
        <f>N52*$K$36/100</f>
        <v>53.234738564457729</v>
      </c>
      <c r="O53" s="134">
        <f>O52*$K$36/100</f>
        <v>59.349008442661614</v>
      </c>
      <c r="P53" s="196">
        <f>P52*$K$36/100</f>
        <v>64.978966581820814</v>
      </c>
      <c r="R53" s="25"/>
      <c r="S53" s="25"/>
      <c r="T53" s="26"/>
      <c r="U53" s="25"/>
      <c r="V53" s="25"/>
      <c r="W53" s="30"/>
      <c r="X53" s="31" t="s">
        <v>21</v>
      </c>
      <c r="Y53" s="122">
        <f>SUM(Y18:Y50)</f>
        <v>83.737428782511259</v>
      </c>
      <c r="Z53" s="25"/>
      <c r="AB53" s="25"/>
      <c r="AC53" s="25"/>
      <c r="AD53" s="26"/>
      <c r="AE53" s="25"/>
      <c r="AF53" s="25"/>
      <c r="AG53" s="30"/>
      <c r="AH53" s="31" t="s">
        <v>193</v>
      </c>
      <c r="AI53" s="122">
        <f>SUM(AI18:AI50)</f>
        <v>79.067150232159534</v>
      </c>
      <c r="AJ53" s="25"/>
      <c r="AL53" s="25"/>
      <c r="AM53" s="25"/>
      <c r="AN53" s="26"/>
      <c r="AO53" s="25"/>
      <c r="AP53" s="25"/>
      <c r="AQ53" s="30"/>
      <c r="AR53" s="31" t="s">
        <v>148</v>
      </c>
      <c r="AS53" s="122">
        <f>SUM(AS18:AS50)</f>
        <v>81.589193098203779</v>
      </c>
      <c r="AT53" s="25"/>
    </row>
    <row r="54" spans="2:46" x14ac:dyDescent="0.2">
      <c r="C54" s="203" t="str">
        <f>C46</f>
        <v>metals</v>
      </c>
      <c r="D54" s="204">
        <f t="shared" si="48"/>
        <v>75.477481726008023</v>
      </c>
      <c r="E54" s="204">
        <f t="shared" si="49"/>
        <v>40.043039411151184</v>
      </c>
      <c r="F54" s="204">
        <f t="shared" si="49"/>
        <v>33.156689482463591</v>
      </c>
      <c r="G54" s="204">
        <f t="shared" si="49"/>
        <v>26.815807806906605</v>
      </c>
      <c r="H54" s="39"/>
      <c r="I54" s="178">
        <f>I52*$K$37/100</f>
        <v>2.7494024182676982</v>
      </c>
      <c r="J54" s="79" t="s">
        <v>203</v>
      </c>
      <c r="K54" s="79"/>
      <c r="L54" s="79"/>
      <c r="M54" s="79"/>
      <c r="N54" s="134">
        <f>N52*$K$37/100</f>
        <v>6.7222220243910957</v>
      </c>
      <c r="O54" s="134">
        <f>O52*$K$37/100</f>
        <v>7.4943020748747982</v>
      </c>
      <c r="P54" s="196">
        <f>P52*$K$37/100</f>
        <v>8.205225611272585</v>
      </c>
      <c r="R54" s="25"/>
      <c r="S54" s="25"/>
      <c r="T54" s="26"/>
      <c r="U54" s="25"/>
      <c r="V54" s="25"/>
      <c r="W54" s="25"/>
      <c r="X54" s="25"/>
      <c r="Y54" s="25"/>
      <c r="Z54" s="25"/>
      <c r="AB54" s="25"/>
      <c r="AC54" s="25"/>
      <c r="AD54" s="26"/>
      <c r="AE54" s="25"/>
      <c r="AF54" s="25"/>
      <c r="AG54" s="25"/>
      <c r="AH54" s="25"/>
      <c r="AI54" s="25"/>
      <c r="AJ54" s="25"/>
      <c r="AL54" s="25"/>
      <c r="AM54" s="25"/>
      <c r="AN54" s="26"/>
      <c r="AO54" s="25"/>
      <c r="AP54" s="25"/>
      <c r="AQ54" s="25"/>
      <c r="AR54" s="25"/>
      <c r="AS54" s="25"/>
      <c r="AT54" s="25"/>
    </row>
    <row r="55" spans="2:46" ht="13.5" thickBot="1" x14ac:dyDescent="0.25">
      <c r="C55" t="s">
        <v>113</v>
      </c>
      <c r="D55" s="10">
        <f t="shared" si="48"/>
        <v>74.260171744319905</v>
      </c>
      <c r="E55" s="10">
        <f t="shared" ref="E55:G56" si="50">100-E47</f>
        <v>37.066746121000214</v>
      </c>
      <c r="F55" s="10">
        <f t="shared" si="50"/>
        <v>29.838554363022226</v>
      </c>
      <c r="G55" s="10">
        <f t="shared" si="50"/>
        <v>23.182908173066039</v>
      </c>
      <c r="I55" s="178">
        <f>I53/I50*100</f>
        <v>25.739828255680099</v>
      </c>
      <c r="J55" s="79" t="s">
        <v>2</v>
      </c>
      <c r="K55" s="79" t="s">
        <v>207</v>
      </c>
      <c r="L55" s="79"/>
      <c r="M55" s="79"/>
      <c r="N55" s="134">
        <f>N53/I50*100</f>
        <v>62.933253878999786</v>
      </c>
      <c r="O55" s="134">
        <f>O53/I50*100</f>
        <v>70.161445636977774</v>
      </c>
      <c r="P55" s="196">
        <f>P53/I50*100</f>
        <v>76.817091826933961</v>
      </c>
      <c r="R55" s="25"/>
      <c r="S55" s="25"/>
      <c r="T55" s="26"/>
      <c r="U55" s="25"/>
      <c r="V55" s="25"/>
      <c r="W55" s="25"/>
      <c r="X55" s="25"/>
      <c r="Y55" s="25"/>
      <c r="Z55" s="25"/>
      <c r="AB55" s="25"/>
      <c r="AC55" s="25"/>
      <c r="AD55" s="26"/>
      <c r="AE55" s="25"/>
      <c r="AF55" s="25"/>
      <c r="AG55" s="25"/>
      <c r="AH55" s="25"/>
      <c r="AI55" s="25"/>
      <c r="AJ55" s="25"/>
      <c r="AL55" s="25"/>
      <c r="AM55" s="25"/>
      <c r="AN55" s="26"/>
      <c r="AO55" s="25"/>
      <c r="AP55" s="25"/>
      <c r="AQ55" s="25"/>
      <c r="AR55" s="25"/>
      <c r="AS55" s="25"/>
      <c r="AT55" s="25"/>
    </row>
    <row r="56" spans="2:46" ht="13.5" thickBot="1" x14ac:dyDescent="0.25">
      <c r="C56" t="s">
        <v>114</v>
      </c>
      <c r="D56" s="10">
        <f t="shared" si="48"/>
        <v>82.159244503647301</v>
      </c>
      <c r="E56" s="10">
        <f t="shared" si="50"/>
        <v>56.379786846582483</v>
      </c>
      <c r="F56" s="10">
        <f t="shared" si="50"/>
        <v>51.36979219728331</v>
      </c>
      <c r="G56" s="10">
        <f t="shared" si="50"/>
        <v>46.756639569932858</v>
      </c>
      <c r="I56" s="180">
        <f>I54/I51*100</f>
        <v>17.840755496352696</v>
      </c>
      <c r="J56" s="181" t="s">
        <v>2</v>
      </c>
      <c r="K56" s="181" t="s">
        <v>208</v>
      </c>
      <c r="L56" s="181"/>
      <c r="M56" s="181"/>
      <c r="N56" s="197">
        <f>N54/I51*100</f>
        <v>43.620213153417517</v>
      </c>
      <c r="O56" s="197">
        <f>O54/I51*100</f>
        <v>48.63020780271669</v>
      </c>
      <c r="P56" s="198">
        <f>P54/I51*100</f>
        <v>53.243360430067142</v>
      </c>
      <c r="R56" s="25"/>
      <c r="S56" s="25"/>
      <c r="T56" s="26"/>
      <c r="U56" s="25"/>
      <c r="V56" s="25"/>
      <c r="W56" s="30" t="s">
        <v>99</v>
      </c>
      <c r="X56" s="32"/>
      <c r="Y56" s="35">
        <f>100-Y53</f>
        <v>16.262571217488741</v>
      </c>
      <c r="Z56" s="33" t="s">
        <v>2</v>
      </c>
      <c r="AB56" s="25"/>
      <c r="AC56" s="25"/>
      <c r="AD56" s="26"/>
      <c r="AE56" s="25"/>
      <c r="AF56" s="25"/>
      <c r="AG56" s="30" t="s">
        <v>99</v>
      </c>
      <c r="AH56" s="32"/>
      <c r="AI56" s="35">
        <f>100-AI53</f>
        <v>20.932849767840466</v>
      </c>
      <c r="AJ56" s="33" t="s">
        <v>2</v>
      </c>
      <c r="AL56" s="25"/>
      <c r="AM56" s="25"/>
      <c r="AN56" s="26"/>
      <c r="AO56" s="25"/>
      <c r="AP56" s="25"/>
      <c r="AQ56" s="30" t="s">
        <v>99</v>
      </c>
      <c r="AR56" s="32"/>
      <c r="AS56" s="35">
        <f>100-AS53</f>
        <v>18.410806901796221</v>
      </c>
      <c r="AT56" s="33" t="s">
        <v>2</v>
      </c>
    </row>
    <row r="57" spans="2:46" x14ac:dyDescent="0.2">
      <c r="C57" t="str">
        <f>C49</f>
        <v>paper</v>
      </c>
      <c r="D57" s="10">
        <f t="shared" si="48"/>
        <v>59.490686158924781</v>
      </c>
      <c r="E57" s="10">
        <f>100-E49</f>
        <v>39.862442265281494</v>
      </c>
      <c r="F57" s="10">
        <f t="shared" ref="F57:G57" si="51">100-F49</f>
        <v>37.656559912340327</v>
      </c>
      <c r="G57" s="10">
        <f t="shared" si="51"/>
        <v>37.656559912340327</v>
      </c>
      <c r="R57" s="25"/>
      <c r="S57" s="25"/>
      <c r="T57" s="26"/>
      <c r="U57" s="25"/>
      <c r="V57" s="25"/>
      <c r="W57" s="25"/>
      <c r="X57" s="25"/>
      <c r="Y57" s="25"/>
      <c r="Z57" s="25"/>
      <c r="AB57" s="25"/>
      <c r="AC57" s="25"/>
      <c r="AD57" s="26"/>
      <c r="AE57" s="25"/>
      <c r="AF57" s="25"/>
      <c r="AG57" s="25"/>
      <c r="AH57" s="25"/>
      <c r="AI57" s="25"/>
      <c r="AJ57" s="25"/>
      <c r="AL57" s="25"/>
      <c r="AM57" s="25"/>
      <c r="AN57" s="26"/>
      <c r="AO57" s="25"/>
      <c r="AP57" s="25"/>
      <c r="AQ57" s="25"/>
      <c r="AR57" s="25"/>
      <c r="AS57" s="25"/>
      <c r="AT57" s="25"/>
    </row>
    <row r="58" spans="2:46" x14ac:dyDescent="0.2">
      <c r="E58" s="10"/>
    </row>
    <row r="59" spans="2:46" x14ac:dyDescent="0.2">
      <c r="B59" t="s">
        <v>210</v>
      </c>
      <c r="E59" s="315">
        <v>2020</v>
      </c>
      <c r="F59" s="315"/>
      <c r="G59" s="315"/>
      <c r="H59" s="315">
        <v>2025</v>
      </c>
      <c r="I59" s="315"/>
      <c r="J59" s="315"/>
      <c r="K59" s="315">
        <v>2030</v>
      </c>
      <c r="L59" s="315"/>
      <c r="M59" s="315"/>
    </row>
    <row r="60" spans="2:46" x14ac:dyDescent="0.2">
      <c r="D60" t="str">
        <f t="shared" ref="D60:D65" si="52">C52</f>
        <v>plastic</v>
      </c>
      <c r="E60" s="10">
        <f t="shared" ref="E60:E65" si="53">D52-E52</f>
        <v>24.171404992084078</v>
      </c>
      <c r="F60" s="146">
        <f t="shared" ref="F60:F65" si="54">E60/D52*100</f>
        <v>26.030271701672291</v>
      </c>
      <c r="G60" t="s">
        <v>2</v>
      </c>
      <c r="H60" s="10">
        <f>D52-F52</f>
        <v>33.748328069007158</v>
      </c>
      <c r="I60" s="146">
        <f>H60/D52*100</f>
        <v>36.343694104712718</v>
      </c>
      <c r="J60" t="s">
        <v>2</v>
      </c>
      <c r="K60" s="10">
        <f>D52-G52</f>
        <v>33.748328069007158</v>
      </c>
      <c r="L60" s="146">
        <f>K60/D52*100</f>
        <v>36.343694104712718</v>
      </c>
      <c r="M60" t="s">
        <v>2</v>
      </c>
      <c r="N60" s="134"/>
      <c r="O60" s="134"/>
      <c r="P60" s="134"/>
    </row>
    <row r="61" spans="2:46" x14ac:dyDescent="0.2">
      <c r="D61" t="str">
        <f t="shared" si="52"/>
        <v>glass</v>
      </c>
      <c r="E61" s="10">
        <f t="shared" si="53"/>
        <v>15.834639444082278</v>
      </c>
      <c r="F61" s="200">
        <f t="shared" si="54"/>
        <v>33.560572654849047</v>
      </c>
      <c r="G61" t="s">
        <v>2</v>
      </c>
      <c r="H61" s="10">
        <f t="shared" ref="H61:H65" si="55">D53-F53</f>
        <v>25.050325718592084</v>
      </c>
      <c r="I61" s="200">
        <f t="shared" ref="I61:I65" si="56">H61/D53*100</f>
        <v>53.092669351598708</v>
      </c>
      <c r="J61" t="s">
        <v>2</v>
      </c>
      <c r="K61" s="10">
        <f t="shared" ref="K61:K65" si="57">D53-G53</f>
        <v>34.266011993101891</v>
      </c>
      <c r="L61" s="200">
        <f t="shared" ref="L61:L65" si="58">K61/D53*100</f>
        <v>72.624766048348391</v>
      </c>
      <c r="M61" t="s">
        <v>2</v>
      </c>
      <c r="N61" s="134"/>
      <c r="O61" s="134"/>
      <c r="P61" s="134"/>
    </row>
    <row r="62" spans="2:46" x14ac:dyDescent="0.2">
      <c r="D62" s="203" t="str">
        <f t="shared" si="52"/>
        <v>metals</v>
      </c>
      <c r="E62" s="204">
        <f t="shared" si="53"/>
        <v>35.434442314856838</v>
      </c>
      <c r="F62" s="205">
        <f t="shared" si="54"/>
        <v>46.947038380914663</v>
      </c>
      <c r="G62" s="203" t="s">
        <v>2</v>
      </c>
      <c r="H62" s="204">
        <f>D54-F54</f>
        <v>42.320792243544432</v>
      </c>
      <c r="I62" s="205">
        <f t="shared" si="56"/>
        <v>56.070752860003722</v>
      </c>
      <c r="J62" s="203" t="s">
        <v>2</v>
      </c>
      <c r="K62" s="204">
        <f t="shared" si="57"/>
        <v>48.661673919101418</v>
      </c>
      <c r="L62" s="205">
        <f t="shared" si="58"/>
        <v>64.471777285507372</v>
      </c>
      <c r="M62" s="203" t="s">
        <v>2</v>
      </c>
      <c r="N62" s="134"/>
      <c r="O62" s="134"/>
      <c r="P62" s="134"/>
    </row>
    <row r="63" spans="2:46" x14ac:dyDescent="0.2">
      <c r="D63" t="str">
        <f t="shared" si="52"/>
        <v>steel</v>
      </c>
      <c r="E63" s="10">
        <f t="shared" si="53"/>
        <v>37.19342562331969</v>
      </c>
      <c r="F63" s="200">
        <f t="shared" si="54"/>
        <v>50.085294377419189</v>
      </c>
      <c r="G63" t="s">
        <v>2</v>
      </c>
      <c r="H63" s="10">
        <f t="shared" si="55"/>
        <v>44.421617381297679</v>
      </c>
      <c r="I63" s="200">
        <f t="shared" si="56"/>
        <v>59.818899334414013</v>
      </c>
      <c r="J63" t="s">
        <v>2</v>
      </c>
      <c r="K63" s="10">
        <f t="shared" si="57"/>
        <v>51.077263571253866</v>
      </c>
      <c r="L63" s="200">
        <f t="shared" si="58"/>
        <v>68.781504770975317</v>
      </c>
      <c r="M63" t="s">
        <v>2</v>
      </c>
      <c r="N63" s="134"/>
      <c r="O63" s="134"/>
      <c r="P63" s="134"/>
    </row>
    <row r="64" spans="2:46" x14ac:dyDescent="0.2">
      <c r="D64" t="str">
        <f t="shared" si="52"/>
        <v>aluminium</v>
      </c>
      <c r="E64" s="10">
        <f t="shared" si="53"/>
        <v>25.779457657064818</v>
      </c>
      <c r="F64" s="200">
        <f t="shared" si="54"/>
        <v>31.377427838836063</v>
      </c>
      <c r="G64" t="s">
        <v>2</v>
      </c>
      <c r="H64" s="10">
        <f t="shared" si="55"/>
        <v>30.789452306363991</v>
      </c>
      <c r="I64" s="200">
        <f t="shared" si="56"/>
        <v>37.475335237530274</v>
      </c>
      <c r="J64" t="s">
        <v>2</v>
      </c>
      <c r="K64" s="10">
        <f t="shared" si="57"/>
        <v>35.402604933714443</v>
      </c>
      <c r="L64" s="200">
        <f t="shared" si="58"/>
        <v>43.090226970311072</v>
      </c>
      <c r="M64" t="s">
        <v>2</v>
      </c>
      <c r="N64" s="134"/>
      <c r="O64" s="134"/>
      <c r="P64" s="134"/>
    </row>
    <row r="65" spans="2:21" x14ac:dyDescent="0.2">
      <c r="D65" t="str">
        <f t="shared" si="52"/>
        <v>paper</v>
      </c>
      <c r="E65" s="10">
        <f t="shared" si="53"/>
        <v>19.628243893643287</v>
      </c>
      <c r="F65" s="148">
        <f t="shared" si="54"/>
        <v>32.993809890186753</v>
      </c>
      <c r="G65" t="s">
        <v>2</v>
      </c>
      <c r="H65" s="10">
        <f t="shared" si="55"/>
        <v>21.834126246584454</v>
      </c>
      <c r="I65" s="148">
        <f t="shared" si="56"/>
        <v>36.701755613065664</v>
      </c>
      <c r="J65" t="s">
        <v>2</v>
      </c>
      <c r="K65" s="10">
        <f t="shared" si="57"/>
        <v>21.834126246584454</v>
      </c>
      <c r="L65" s="148">
        <f t="shared" si="58"/>
        <v>36.701755613065664</v>
      </c>
      <c r="M65" t="s">
        <v>2</v>
      </c>
      <c r="N65" s="134"/>
      <c r="O65" s="134"/>
      <c r="P65" s="134"/>
    </row>
    <row r="66" spans="2:21" x14ac:dyDescent="0.2">
      <c r="E66" s="10"/>
      <c r="I66" s="134"/>
      <c r="J66" s="79"/>
      <c r="K66" s="79"/>
      <c r="L66" s="79"/>
      <c r="M66" s="79"/>
      <c r="N66" s="134"/>
      <c r="O66" s="134"/>
      <c r="P66" s="134"/>
    </row>
    <row r="67" spans="2:21" x14ac:dyDescent="0.2">
      <c r="E67" s="10"/>
      <c r="I67" s="134"/>
      <c r="J67" s="79"/>
      <c r="K67" s="79"/>
      <c r="L67" s="79"/>
      <c r="M67" s="79"/>
      <c r="N67" s="134"/>
      <c r="O67" s="134"/>
      <c r="P67" s="134"/>
    </row>
    <row r="68" spans="2:21" x14ac:dyDescent="0.2">
      <c r="E68" s="10"/>
      <c r="I68" s="10"/>
    </row>
    <row r="69" spans="2:21" x14ac:dyDescent="0.2">
      <c r="B69" s="84" t="s">
        <v>30</v>
      </c>
      <c r="C69" s="53"/>
    </row>
    <row r="70" spans="2:21" x14ac:dyDescent="0.2">
      <c r="B70" t="str">
        <f>'option 3.1 higher MSW recycling'!B58</f>
        <v>as in option 1</v>
      </c>
      <c r="D70" t="s">
        <v>32</v>
      </c>
      <c r="E70" t="s">
        <v>33</v>
      </c>
      <c r="G70" t="str">
        <f>D70</f>
        <v>packaging</v>
      </c>
    </row>
    <row r="71" spans="2:21" x14ac:dyDescent="0.2">
      <c r="B71" t="s">
        <v>31</v>
      </c>
      <c r="C71" t="s">
        <v>7</v>
      </c>
      <c r="D71">
        <f>'option 3.1 higher MSW recycling'!D59</f>
        <v>2470</v>
      </c>
      <c r="E71">
        <f>'option 3.1 higher MSW recycling'!E59</f>
        <v>32566</v>
      </c>
      <c r="G71" s="10">
        <f>D71/(D71+E71)*100</f>
        <v>7.0498915401301518</v>
      </c>
      <c r="H71" s="1" t="s">
        <v>2</v>
      </c>
      <c r="I71" s="10">
        <f>G71+G73*(G71/(G71+G72))</f>
        <v>7.2873114912236856</v>
      </c>
      <c r="J71" t="s">
        <v>2</v>
      </c>
      <c r="L71" t="str">
        <f>CONCATENATE(ROUND(I71,1),"% of ",B71," ",C71," litter consists of packaging")</f>
        <v>7,3% of NOR industrial litter consists of packaging</v>
      </c>
    </row>
    <row r="72" spans="2:21" x14ac:dyDescent="0.2">
      <c r="B72" t="s">
        <v>31</v>
      </c>
      <c r="C72" t="s">
        <v>34</v>
      </c>
      <c r="D72">
        <f>'option 3.1 higher MSW recycling'!D60</f>
        <v>18577</v>
      </c>
      <c r="E72">
        <f>'option 3.1 higher MSW recycling'!E60</f>
        <v>10205</v>
      </c>
      <c r="G72" s="10">
        <f t="shared" ref="G72:G82" si="59">D72/(D72+E72)*100</f>
        <v>64.543812104787719</v>
      </c>
      <c r="H72" s="1" t="s">
        <v>2</v>
      </c>
      <c r="I72" s="10">
        <f>G72+G73*(G72/(G71+G72))</f>
        <v>66.717460965352458</v>
      </c>
      <c r="J72" t="s">
        <v>2</v>
      </c>
      <c r="L72" t="str">
        <f t="shared" ref="L72:L81" si="60">CONCATENATE(ROUND(I72,1),"% of ",B72," ",C72," litter consists of packaging")</f>
        <v>66,7% of NOR consumer litter consists of packaging</v>
      </c>
    </row>
    <row r="73" spans="2:21" x14ac:dyDescent="0.2">
      <c r="B73" t="s">
        <v>31</v>
      </c>
      <c r="C73" t="s">
        <v>8</v>
      </c>
      <c r="D73">
        <f>'option 3.1 higher MSW recycling'!D61</f>
        <v>589</v>
      </c>
      <c r="E73">
        <f>'option 3.1 higher MSW recycling'!E61</f>
        <v>23840</v>
      </c>
      <c r="G73" s="10">
        <f t="shared" si="59"/>
        <v>2.411068811658275</v>
      </c>
      <c r="H73" s="1" t="s">
        <v>2</v>
      </c>
      <c r="I73" s="10"/>
    </row>
    <row r="74" spans="2:21" x14ac:dyDescent="0.2">
      <c r="B74" t="s">
        <v>35</v>
      </c>
      <c r="C74" t="s">
        <v>7</v>
      </c>
      <c r="D74">
        <f>'option 3.1 higher MSW recycling'!D62</f>
        <v>1181</v>
      </c>
      <c r="E74">
        <f>'option 3.1 higher MSW recycling'!E62</f>
        <v>2444</v>
      </c>
      <c r="G74" s="10">
        <f t="shared" si="59"/>
        <v>32.57931034482759</v>
      </c>
      <c r="H74" s="1" t="s">
        <v>2</v>
      </c>
      <c r="I74" s="10">
        <f>G74+G76*(G74/(G74+G75))</f>
        <v>33.490694179104082</v>
      </c>
      <c r="J74" t="s">
        <v>2</v>
      </c>
      <c r="L74" t="str">
        <f t="shared" si="60"/>
        <v>33,5% of BAL industrial litter consists of packaging</v>
      </c>
    </row>
    <row r="75" spans="2:21" x14ac:dyDescent="0.2">
      <c r="B75" t="s">
        <v>35</v>
      </c>
      <c r="C75" t="s">
        <v>34</v>
      </c>
      <c r="D75">
        <f>'option 3.1 higher MSW recycling'!D63</f>
        <v>6272</v>
      </c>
      <c r="E75">
        <f>'option 3.1 higher MSW recycling'!E63</f>
        <v>3949</v>
      </c>
      <c r="G75" s="10">
        <f t="shared" si="59"/>
        <v>61.363858722238533</v>
      </c>
      <c r="H75" s="1" t="s">
        <v>2</v>
      </c>
      <c r="I75" s="10">
        <f>G75+G76*(G75/(G74+G75))</f>
        <v>63.080470530663561</v>
      </c>
      <c r="J75" t="s">
        <v>2</v>
      </c>
      <c r="L75" t="str">
        <f t="shared" si="60"/>
        <v>63,1% of BAL consumer litter consists of packaging</v>
      </c>
      <c r="R75" s="1" t="str">
        <f>'option 3.1 higher MSW recycling'!R62</f>
        <v>EU averages are weighed, based on:</v>
      </c>
      <c r="S75" s="1"/>
      <c r="T75" s="1"/>
      <c r="U75" s="1"/>
    </row>
    <row r="76" spans="2:21" x14ac:dyDescent="0.2">
      <c r="B76" t="s">
        <v>35</v>
      </c>
      <c r="C76" t="s">
        <v>8</v>
      </c>
      <c r="D76">
        <f>'option 3.1 higher MSW recycling'!D64</f>
        <v>193</v>
      </c>
      <c r="E76">
        <f>'option 3.1 higher MSW recycling'!E64</f>
        <v>7151</v>
      </c>
      <c r="G76" s="10">
        <f t="shared" si="59"/>
        <v>2.6279956427015252</v>
      </c>
      <c r="H76" s="1" t="s">
        <v>2</v>
      </c>
      <c r="S76" s="1" t="str">
        <f>'option 3.1 higher MSW recycling'!S64</f>
        <v>km</v>
      </c>
      <c r="T76" s="1"/>
      <c r="U76" s="1"/>
    </row>
    <row r="77" spans="2:21" x14ac:dyDescent="0.2">
      <c r="B77" t="s">
        <v>36</v>
      </c>
      <c r="C77" t="s">
        <v>7</v>
      </c>
      <c r="D77">
        <f>'option 3.1 higher MSW recycling'!D65</f>
        <v>15</v>
      </c>
      <c r="E77">
        <f>'option 3.1 higher MSW recycling'!E65</f>
        <v>320</v>
      </c>
      <c r="G77" s="10">
        <f t="shared" si="59"/>
        <v>4.4776119402985071</v>
      </c>
      <c r="H77" s="1" t="s">
        <v>2</v>
      </c>
      <c r="I77" s="10">
        <f>G77+G79*(G77/(G77+G78))</f>
        <v>4.7310359768566617</v>
      </c>
      <c r="J77" t="s">
        <v>2</v>
      </c>
      <c r="L77" t="str">
        <f t="shared" si="60"/>
        <v>4,7% of BLA industrial litter consists of packaging</v>
      </c>
      <c r="T77" s="86" t="str">
        <f>'option 3.1 higher MSW recycling'!T64</f>
        <v>Share of coastline</v>
      </c>
      <c r="U77" s="1" t="str">
        <f>'option 3.1 higher MSW recycling'!U64</f>
        <v># of surveys</v>
      </c>
    </row>
    <row r="78" spans="2:21" x14ac:dyDescent="0.2">
      <c r="B78" t="s">
        <v>36</v>
      </c>
      <c r="C78" t="s">
        <v>34</v>
      </c>
      <c r="D78">
        <f>'option 3.1 higher MSW recycling'!D66</f>
        <v>2636</v>
      </c>
      <c r="E78">
        <f>'option 3.1 higher MSW recycling'!E66</f>
        <v>2609</v>
      </c>
      <c r="G78" s="10">
        <f t="shared" si="59"/>
        <v>50.257387988560531</v>
      </c>
      <c r="H78" s="1" t="s">
        <v>2</v>
      </c>
      <c r="I78" s="10">
        <f>G78+G79*(G78/(G77+G78))</f>
        <v>53.101857384468303</v>
      </c>
      <c r="J78" t="s">
        <v>2</v>
      </c>
      <c r="L78" t="str">
        <f t="shared" si="60"/>
        <v>53,1% of BLA consumer litter consists of packaging</v>
      </c>
      <c r="R78" s="86" t="str">
        <f>'option 3.1 higher MSW recycling'!R65</f>
        <v>Baltic Sea</v>
      </c>
      <c r="S78" s="1">
        <f>'option 3.1 higher MSW recycling'!S65</f>
        <v>13080</v>
      </c>
      <c r="T78" s="1">
        <f>'option 3.1 higher MSW recycling'!T65</f>
        <v>0.26286173633440513</v>
      </c>
      <c r="U78" s="1">
        <f>'option 3.1 higher MSW recycling'!U65</f>
        <v>152</v>
      </c>
    </row>
    <row r="79" spans="2:21" x14ac:dyDescent="0.2">
      <c r="B79" t="s">
        <v>36</v>
      </c>
      <c r="C79" t="s">
        <v>8</v>
      </c>
      <c r="D79">
        <f>'option 3.1 higher MSW recycling'!D67</f>
        <v>25</v>
      </c>
      <c r="E79">
        <f>'option 3.1 higher MSW recycling'!E67</f>
        <v>782</v>
      </c>
      <c r="G79" s="10">
        <f t="shared" si="59"/>
        <v>3.0978934324659235</v>
      </c>
      <c r="H79" s="1" t="s">
        <v>2</v>
      </c>
      <c r="I79" s="10"/>
      <c r="R79" s="86" t="str">
        <f>'option 3.1 higher MSW recycling'!R66</f>
        <v>Mediterranean Sea</v>
      </c>
      <c r="S79" s="1">
        <f>'option 3.1 higher MSW recycling'!S66</f>
        <v>16164</v>
      </c>
      <c r="T79" s="1">
        <f>'option 3.1 higher MSW recycling'!T66</f>
        <v>0.32483922829581996</v>
      </c>
      <c r="U79" s="1">
        <f>'option 3.1 higher MSW recycling'!U66</f>
        <v>33</v>
      </c>
    </row>
    <row r="80" spans="2:21" x14ac:dyDescent="0.2">
      <c r="B80" t="s">
        <v>37</v>
      </c>
      <c r="C80" t="s">
        <v>7</v>
      </c>
      <c r="D80">
        <f>'option 3.1 higher MSW recycling'!D68</f>
        <v>241</v>
      </c>
      <c r="E80">
        <f>'option 3.1 higher MSW recycling'!E68</f>
        <v>535</v>
      </c>
      <c r="G80" s="10">
        <f t="shared" si="59"/>
        <v>31.056701030927837</v>
      </c>
      <c r="H80" s="1" t="s">
        <v>2</v>
      </c>
      <c r="I80" s="10">
        <f>G80+G82*(G80/(G80+G81))</f>
        <v>32.847440903542989</v>
      </c>
      <c r="J80" t="s">
        <v>2</v>
      </c>
      <c r="L80" t="str">
        <f t="shared" si="60"/>
        <v>32,8% of MED industrial litter consists of packaging</v>
      </c>
      <c r="R80" s="86" t="str">
        <f>'option 3.1 higher MSW recycling'!R67</f>
        <v>North Sea</v>
      </c>
      <c r="S80" s="1">
        <f>'option 3.1 higher MSW recycling'!S67</f>
        <v>19885</v>
      </c>
      <c r="T80" s="1">
        <f>'option 3.1 higher MSW recycling'!T67</f>
        <v>0.39961816720257237</v>
      </c>
      <c r="U80" s="1">
        <f>'option 3.1 higher MSW recycling'!U67</f>
        <v>151</v>
      </c>
    </row>
    <row r="81" spans="2:21" x14ac:dyDescent="0.2">
      <c r="B81" t="s">
        <v>37</v>
      </c>
      <c r="C81" t="s">
        <v>34</v>
      </c>
      <c r="D81">
        <f>'option 3.1 higher MSW recycling'!D69</f>
        <v>17044</v>
      </c>
      <c r="E81">
        <f>'option 3.1 higher MSW recycling'!E69</f>
        <v>6716</v>
      </c>
      <c r="G81" s="10">
        <f t="shared" si="59"/>
        <v>71.734006734006741</v>
      </c>
      <c r="H81" s="1" t="s">
        <v>2</v>
      </c>
      <c r="I81" s="10">
        <f>G81+G82*(G81/(G80+G81))</f>
        <v>75.870213794541144</v>
      </c>
      <c r="J81" t="s">
        <v>2</v>
      </c>
      <c r="L81" t="str">
        <f t="shared" si="60"/>
        <v>75,9% of MED consumer litter consists of packaging</v>
      </c>
      <c r="R81" s="86" t="str">
        <f>'option 3.1 higher MSW recycling'!R68</f>
        <v>Black Sea</v>
      </c>
      <c r="S81" s="1">
        <f>'option 3.1 higher MSW recycling'!S68</f>
        <v>631</v>
      </c>
      <c r="T81" s="1">
        <f>'option 3.1 higher MSW recycling'!T68</f>
        <v>1.2680868167202573E-2</v>
      </c>
      <c r="U81" s="1">
        <f>'option 3.1 higher MSW recycling'!U68</f>
        <v>7</v>
      </c>
    </row>
    <row r="82" spans="2:21" x14ac:dyDescent="0.2">
      <c r="B82" t="s">
        <v>37</v>
      </c>
      <c r="C82" t="s">
        <v>8</v>
      </c>
      <c r="D82">
        <f>'option 3.1 higher MSW recycling'!D70</f>
        <v>86</v>
      </c>
      <c r="E82">
        <f>'option 3.1 higher MSW recycling'!E70</f>
        <v>1365</v>
      </c>
      <c r="G82" s="10">
        <f t="shared" si="59"/>
        <v>5.9269469331495523</v>
      </c>
      <c r="H82" s="1" t="s">
        <v>2</v>
      </c>
      <c r="R82" s="86" t="str">
        <f>'option 3.1 higher MSW recycling'!R69</f>
        <v>Total coast line</v>
      </c>
      <c r="S82" s="1">
        <f>'option 3.1 higher MSW recycling'!S69</f>
        <v>49760</v>
      </c>
      <c r="T82" s="1">
        <f>'option 3.1 higher MSW recycling'!T69</f>
        <v>1</v>
      </c>
      <c r="U82" s="1">
        <f>'option 3.1 higher MSW recycling'!U69</f>
        <v>0</v>
      </c>
    </row>
    <row r="83" spans="2:21" x14ac:dyDescent="0.2">
      <c r="I83" s="146">
        <f>'option 3.1 higher MSW recycling'!I71</f>
        <v>60.789731032131009</v>
      </c>
      <c r="J83" t="s">
        <v>2</v>
      </c>
      <c r="L83" t="str">
        <f>'option 3.1 higher MSW recycling'!L71</f>
        <v>60,8% of EU consumer litter consists of packaging</v>
      </c>
    </row>
    <row r="84" spans="2:21" x14ac:dyDescent="0.2">
      <c r="I84" s="148">
        <f>'option 3.1 higher MSW recycling'!I72</f>
        <v>7.3719774495337935</v>
      </c>
      <c r="J84" t="s">
        <v>2</v>
      </c>
      <c r="L84" t="str">
        <f>'option 3.1 higher MSW recycling'!L72</f>
        <v>7,4% of EU industrial litter consists of packaging</v>
      </c>
    </row>
    <row r="88" spans="2:21" x14ac:dyDescent="0.2">
      <c r="B88" s="84" t="s">
        <v>68</v>
      </c>
      <c r="C88" s="53"/>
    </row>
    <row r="89" spans="2:21" x14ac:dyDescent="0.2">
      <c r="B89" t="str">
        <f>'option 3.1 higher MSW recycling'!B77</f>
        <v>as in option 1</v>
      </c>
    </row>
    <row r="91" spans="2:21" ht="14.25" x14ac:dyDescent="0.2">
      <c r="B91" s="12" t="s">
        <v>69</v>
      </c>
      <c r="C91" s="12" t="s">
        <v>70</v>
      </c>
      <c r="D91" s="12" t="s">
        <v>71</v>
      </c>
      <c r="E91" s="12" t="s">
        <v>72</v>
      </c>
      <c r="F91" s="12" t="s">
        <v>73</v>
      </c>
    </row>
    <row r="92" spans="2:21" ht="14.25" x14ac:dyDescent="0.2">
      <c r="B92" s="285">
        <f>'option 3.1 higher MSW recycling'!B80</f>
        <v>219</v>
      </c>
      <c r="C92" s="14" t="s">
        <v>35</v>
      </c>
      <c r="D92" s="14" t="s">
        <v>63</v>
      </c>
      <c r="E92" s="14" t="s">
        <v>32</v>
      </c>
      <c r="F92" s="14" t="s">
        <v>34</v>
      </c>
      <c r="H92" s="1">
        <f t="shared" ref="H92:H97" si="61">B92/$B$98*100</f>
        <v>3.3973033008968847</v>
      </c>
    </row>
    <row r="93" spans="2:21" ht="14.25" x14ac:dyDescent="0.2">
      <c r="B93" s="285">
        <f>'option 3.1 higher MSW recycling'!B81</f>
        <v>1046.9933523266857</v>
      </c>
      <c r="C93" s="14" t="s">
        <v>35</v>
      </c>
      <c r="D93" s="14" t="s">
        <v>76</v>
      </c>
      <c r="E93" s="14" t="s">
        <v>32</v>
      </c>
      <c r="F93" s="14" t="s">
        <v>34</v>
      </c>
      <c r="H93" s="1">
        <f t="shared" si="61"/>
        <v>16.241798958340382</v>
      </c>
    </row>
    <row r="94" spans="2:21" ht="14.25" x14ac:dyDescent="0.2">
      <c r="B94" s="285">
        <f>'option 3.1 higher MSW recycling'!B82</f>
        <v>426</v>
      </c>
      <c r="C94" s="14" t="s">
        <v>35</v>
      </c>
      <c r="D94" s="14" t="s">
        <v>77</v>
      </c>
      <c r="E94" s="14" t="s">
        <v>32</v>
      </c>
      <c r="F94" s="14" t="s">
        <v>34</v>
      </c>
      <c r="H94" s="1">
        <f t="shared" si="61"/>
        <v>6.6084529962651724</v>
      </c>
    </row>
    <row r="95" spans="2:21" ht="14.25" x14ac:dyDescent="0.2">
      <c r="B95" s="285">
        <f>'option 3.1 higher MSW recycling'!B83</f>
        <v>4296.2959719789842</v>
      </c>
      <c r="C95" s="14" t="s">
        <v>35</v>
      </c>
      <c r="D95" s="14" t="s">
        <v>78</v>
      </c>
      <c r="E95" s="14" t="s">
        <v>32</v>
      </c>
      <c r="F95" s="14" t="s">
        <v>34</v>
      </c>
      <c r="H95" s="1">
        <f t="shared" si="61"/>
        <v>66.647582133489465</v>
      </c>
    </row>
    <row r="96" spans="2:21" ht="14.25" x14ac:dyDescent="0.2">
      <c r="B96" s="285">
        <f>'option 3.1 higher MSW recycling'!B84</f>
        <v>229</v>
      </c>
      <c r="C96" s="14" t="s">
        <v>35</v>
      </c>
      <c r="D96" s="14" t="s">
        <v>79</v>
      </c>
      <c r="E96" s="14" t="s">
        <v>32</v>
      </c>
      <c r="F96" s="14" t="s">
        <v>34</v>
      </c>
      <c r="H96" s="1">
        <f t="shared" si="61"/>
        <v>3.5524313055040482</v>
      </c>
    </row>
    <row r="97" spans="2:8" ht="14.25" x14ac:dyDescent="0.2">
      <c r="B97" s="285">
        <f>'option 3.1 higher MSW recycling'!B85</f>
        <v>229</v>
      </c>
      <c r="C97" s="14" t="s">
        <v>35</v>
      </c>
      <c r="D97" s="14" t="s">
        <v>80</v>
      </c>
      <c r="E97" s="14" t="s">
        <v>32</v>
      </c>
      <c r="F97" s="14" t="s">
        <v>34</v>
      </c>
      <c r="H97" s="1">
        <f t="shared" si="61"/>
        <v>3.5524313055040482</v>
      </c>
    </row>
    <row r="98" spans="2:8" ht="14.25" x14ac:dyDescent="0.2">
      <c r="B98" s="278">
        <f>SUM(B92:B97)</f>
        <v>6446.2893243056697</v>
      </c>
      <c r="C98" s="14"/>
      <c r="D98" s="14"/>
      <c r="E98" s="14"/>
      <c r="F98" s="14"/>
      <c r="H98" s="16">
        <f>SUM(H92:H97)</f>
        <v>99.999999999999986</v>
      </c>
    </row>
    <row r="99" spans="2:8" ht="14.25" x14ac:dyDescent="0.2">
      <c r="B99" s="285">
        <f>'option 3.1 higher MSW recycling'!B87</f>
        <v>24</v>
      </c>
      <c r="C99" s="14" t="s">
        <v>36</v>
      </c>
      <c r="D99" s="14" t="s">
        <v>63</v>
      </c>
      <c r="E99" s="14" t="s">
        <v>32</v>
      </c>
      <c r="F99" s="14" t="s">
        <v>34</v>
      </c>
      <c r="H99" s="1">
        <f t="shared" ref="H99:H104" si="62">B99/$B$105*100</f>
        <v>0.90739181920646006</v>
      </c>
    </row>
    <row r="100" spans="2:8" ht="14.25" x14ac:dyDescent="0.2">
      <c r="B100" s="285">
        <f>'option 3.1 higher MSW recycling'!B88</f>
        <v>482.94339622641508</v>
      </c>
      <c r="C100" s="14" t="s">
        <v>36</v>
      </c>
      <c r="D100" s="14" t="s">
        <v>76</v>
      </c>
      <c r="E100" s="14" t="s">
        <v>32</v>
      </c>
      <c r="F100" s="14" t="s">
        <v>34</v>
      </c>
      <c r="H100" s="1">
        <f t="shared" si="62"/>
        <v>18.259120286484713</v>
      </c>
    </row>
    <row r="101" spans="2:8" ht="14.25" x14ac:dyDescent="0.2">
      <c r="B101" s="285">
        <f>'option 3.1 higher MSW recycling'!B89</f>
        <v>44</v>
      </c>
      <c r="C101" s="14" t="s">
        <v>36</v>
      </c>
      <c r="D101" s="14" t="s">
        <v>77</v>
      </c>
      <c r="E101" s="14" t="s">
        <v>32</v>
      </c>
      <c r="F101" s="14" t="s">
        <v>34</v>
      </c>
      <c r="H101" s="1">
        <f t="shared" si="62"/>
        <v>1.6635516685451768</v>
      </c>
    </row>
    <row r="102" spans="2:8" ht="14.25" x14ac:dyDescent="0.2">
      <c r="B102" s="285">
        <f>'option 3.1 higher MSW recycling'!B90</f>
        <v>2024</v>
      </c>
      <c r="C102" s="14" t="s">
        <v>36</v>
      </c>
      <c r="D102" s="14" t="s">
        <v>78</v>
      </c>
      <c r="E102" s="14" t="s">
        <v>32</v>
      </c>
      <c r="F102" s="14" t="s">
        <v>34</v>
      </c>
      <c r="H102" s="1">
        <f t="shared" si="62"/>
        <v>76.523376753078139</v>
      </c>
    </row>
    <row r="103" spans="2:8" ht="14.25" x14ac:dyDescent="0.2">
      <c r="B103" s="285">
        <f>'option 3.1 higher MSW recycling'!B91</f>
        <v>69</v>
      </c>
      <c r="C103" s="14" t="s">
        <v>36</v>
      </c>
      <c r="D103" s="14" t="s">
        <v>79</v>
      </c>
      <c r="E103" s="14" t="s">
        <v>32</v>
      </c>
      <c r="F103" s="14" t="s">
        <v>34</v>
      </c>
      <c r="H103" s="1">
        <f t="shared" si="62"/>
        <v>2.6087514802185732</v>
      </c>
    </row>
    <row r="104" spans="2:8" ht="14.25" x14ac:dyDescent="0.2">
      <c r="B104" s="285">
        <f>'option 3.1 higher MSW recycling'!B92</f>
        <v>1</v>
      </c>
      <c r="C104" s="14" t="s">
        <v>36</v>
      </c>
      <c r="D104" s="14" t="s">
        <v>80</v>
      </c>
      <c r="E104" s="14" t="s">
        <v>32</v>
      </c>
      <c r="F104" s="14" t="s">
        <v>34</v>
      </c>
      <c r="H104" s="1">
        <f t="shared" si="62"/>
        <v>3.7807992466935843E-2</v>
      </c>
    </row>
    <row r="105" spans="2:8" ht="14.25" x14ac:dyDescent="0.2">
      <c r="B105" s="278">
        <f>SUM(B99:B104)</f>
        <v>2644.9433962264152</v>
      </c>
      <c r="C105" s="14"/>
      <c r="D105" s="14"/>
      <c r="E105" s="14"/>
      <c r="F105" s="14"/>
      <c r="H105" s="16">
        <f>SUM(H99:H104)</f>
        <v>100</v>
      </c>
    </row>
    <row r="106" spans="2:8" ht="14.25" x14ac:dyDescent="0.2">
      <c r="B106" s="285">
        <f>'option 3.1 higher MSW recycling'!B94</f>
        <v>923</v>
      </c>
      <c r="C106" s="14" t="s">
        <v>37</v>
      </c>
      <c r="D106" s="14" t="s">
        <v>63</v>
      </c>
      <c r="E106" s="14" t="s">
        <v>32</v>
      </c>
      <c r="F106" s="14" t="s">
        <v>34</v>
      </c>
      <c r="H106" s="1">
        <f t="shared" ref="H106:H111" si="63">B106/$B$112*100</f>
        <v>5.3898006523170325</v>
      </c>
    </row>
    <row r="107" spans="2:8" ht="14.25" x14ac:dyDescent="0.2">
      <c r="B107" s="285">
        <f>'option 3.1 higher MSW recycling'!B95</f>
        <v>512</v>
      </c>
      <c r="C107" s="14" t="s">
        <v>37</v>
      </c>
      <c r="D107" s="14" t="s">
        <v>76</v>
      </c>
      <c r="E107" s="14" t="s">
        <v>32</v>
      </c>
      <c r="F107" s="14" t="s">
        <v>34</v>
      </c>
      <c r="H107" s="1">
        <f t="shared" si="63"/>
        <v>2.9897919111444424</v>
      </c>
    </row>
    <row r="108" spans="2:8" ht="14.25" x14ac:dyDescent="0.2">
      <c r="B108" s="285">
        <f>'option 3.1 higher MSW recycling'!B96</f>
        <v>1597</v>
      </c>
      <c r="C108" s="14" t="s">
        <v>37</v>
      </c>
      <c r="D108" s="14" t="s">
        <v>77</v>
      </c>
      <c r="E108" s="14" t="s">
        <v>32</v>
      </c>
      <c r="F108" s="14" t="s">
        <v>34</v>
      </c>
      <c r="H108" s="1">
        <f t="shared" si="63"/>
        <v>9.3255814103470218</v>
      </c>
    </row>
    <row r="109" spans="2:8" ht="14.25" x14ac:dyDescent="0.2">
      <c r="B109" s="285">
        <f>'option 3.1 higher MSW recycling'!B97</f>
        <v>14022.937628318585</v>
      </c>
      <c r="C109" s="14" t="s">
        <v>37</v>
      </c>
      <c r="D109" s="14" t="s">
        <v>78</v>
      </c>
      <c r="E109" s="14" t="s">
        <v>32</v>
      </c>
      <c r="F109" s="14" t="s">
        <v>34</v>
      </c>
      <c r="H109" s="1">
        <f t="shared" si="63"/>
        <v>81.886065413339722</v>
      </c>
    </row>
    <row r="110" spans="2:8" ht="14.25" x14ac:dyDescent="0.2">
      <c r="B110" s="285">
        <f>'option 3.1 higher MSW recycling'!B98</f>
        <v>38</v>
      </c>
      <c r="C110" s="14" t="s">
        <v>37</v>
      </c>
      <c r="D110" s="14" t="s">
        <v>79</v>
      </c>
      <c r="E110" s="14" t="s">
        <v>32</v>
      </c>
      <c r="F110" s="14" t="s">
        <v>34</v>
      </c>
      <c r="H110" s="1">
        <f t="shared" si="63"/>
        <v>0.2218986184052516</v>
      </c>
    </row>
    <row r="111" spans="2:8" ht="14.25" x14ac:dyDescent="0.2">
      <c r="B111" s="285">
        <f>'option 3.1 higher MSW recycling'!B99</f>
        <v>32</v>
      </c>
      <c r="C111" s="14" t="s">
        <v>37</v>
      </c>
      <c r="D111" s="14" t="s">
        <v>80</v>
      </c>
      <c r="E111" s="14" t="s">
        <v>32</v>
      </c>
      <c r="F111" s="14" t="s">
        <v>34</v>
      </c>
      <c r="H111" s="1">
        <f t="shared" si="63"/>
        <v>0.18686199444652765</v>
      </c>
    </row>
    <row r="112" spans="2:8" ht="14.25" x14ac:dyDescent="0.2">
      <c r="B112" s="278">
        <f>SUM(B106:B111)</f>
        <v>17124.937628318585</v>
      </c>
      <c r="C112" s="14"/>
      <c r="D112" s="14"/>
      <c r="E112" s="14"/>
      <c r="F112" s="14"/>
      <c r="H112" s="16">
        <f>SUM(H106:H111)</f>
        <v>100</v>
      </c>
    </row>
    <row r="113" spans="2:8" ht="14.25" x14ac:dyDescent="0.2">
      <c r="B113" s="285">
        <f>'option 3.1 higher MSW recycling'!B101</f>
        <v>171</v>
      </c>
      <c r="C113" s="14" t="s">
        <v>31</v>
      </c>
      <c r="D113" s="14" t="s">
        <v>63</v>
      </c>
      <c r="E113" s="14" t="s">
        <v>32</v>
      </c>
      <c r="F113" s="14" t="s">
        <v>34</v>
      </c>
      <c r="H113" s="1">
        <f t="shared" ref="H113:H118" si="64">B113/$B$119*100</f>
        <v>0.89511083776975808</v>
      </c>
    </row>
    <row r="114" spans="2:8" ht="14.25" x14ac:dyDescent="0.2">
      <c r="B114" s="285">
        <f>'option 3.1 higher MSW recycling'!B102</f>
        <v>747.52475247524751</v>
      </c>
      <c r="C114" s="14" t="s">
        <v>31</v>
      </c>
      <c r="D114" s="14" t="s">
        <v>76</v>
      </c>
      <c r="E114" s="14" t="s">
        <v>32</v>
      </c>
      <c r="F114" s="14" t="s">
        <v>34</v>
      </c>
      <c r="H114" s="1">
        <f t="shared" si="64"/>
        <v>3.912967879776315</v>
      </c>
    </row>
    <row r="115" spans="2:8" ht="14.25" x14ac:dyDescent="0.2">
      <c r="B115" s="285">
        <f>'option 3.1 higher MSW recycling'!B103</f>
        <v>391</v>
      </c>
      <c r="C115" s="14" t="s">
        <v>31</v>
      </c>
      <c r="D115" s="14" t="s">
        <v>77</v>
      </c>
      <c r="E115" s="14" t="s">
        <v>32</v>
      </c>
      <c r="F115" s="14" t="s">
        <v>34</v>
      </c>
      <c r="H115" s="1">
        <f t="shared" si="64"/>
        <v>2.0467154243741255</v>
      </c>
    </row>
    <row r="116" spans="2:8" ht="14.25" x14ac:dyDescent="0.2">
      <c r="B116" s="285">
        <f>'option 3.1 higher MSW recycling'!B104</f>
        <v>17423.254666178702</v>
      </c>
      <c r="C116" s="14" t="s">
        <v>31</v>
      </c>
      <c r="D116" s="14" t="s">
        <v>78</v>
      </c>
      <c r="E116" s="14" t="s">
        <v>32</v>
      </c>
      <c r="F116" s="14" t="s">
        <v>34</v>
      </c>
      <c r="H116" s="1">
        <f t="shared" si="64"/>
        <v>91.203181759760611</v>
      </c>
    </row>
    <row r="117" spans="2:8" ht="14.25" x14ac:dyDescent="0.2">
      <c r="B117" s="285">
        <f>'option 3.1 higher MSW recycling'!B105</f>
        <v>312</v>
      </c>
      <c r="C117" s="14" t="s">
        <v>31</v>
      </c>
      <c r="D117" s="14" t="s">
        <v>79</v>
      </c>
      <c r="E117" s="14" t="s">
        <v>32</v>
      </c>
      <c r="F117" s="14" t="s">
        <v>34</v>
      </c>
      <c r="H117" s="1">
        <f t="shared" si="64"/>
        <v>1.6331846864571027</v>
      </c>
    </row>
    <row r="118" spans="2:8" ht="14.25" x14ac:dyDescent="0.2">
      <c r="B118" s="285">
        <f>'option 3.1 higher MSW recycling'!B106</f>
        <v>59</v>
      </c>
      <c r="C118" s="14" t="s">
        <v>31</v>
      </c>
      <c r="D118" s="14" t="s">
        <v>80</v>
      </c>
      <c r="E118" s="14" t="s">
        <v>32</v>
      </c>
      <c r="F118" s="14" t="s">
        <v>34</v>
      </c>
      <c r="H118" s="1">
        <f t="shared" si="64"/>
        <v>0.3088394118620803</v>
      </c>
    </row>
    <row r="119" spans="2:8" ht="14.25" x14ac:dyDescent="0.2">
      <c r="B119" s="278">
        <f>SUM(B113:B118)</f>
        <v>19103.77941865395</v>
      </c>
      <c r="C119" s="14"/>
      <c r="D119" s="14"/>
      <c r="E119" s="14"/>
      <c r="F119" s="14"/>
      <c r="H119" s="16">
        <f>SUM(H113:H118)</f>
        <v>99.999999999999986</v>
      </c>
    </row>
    <row r="120" spans="2:8" ht="14.25" x14ac:dyDescent="0.2">
      <c r="B120" s="285">
        <f>'option 3.1 higher MSW recycling'!B108</f>
        <v>2</v>
      </c>
      <c r="C120" s="14" t="s">
        <v>35</v>
      </c>
      <c r="D120" s="14" t="s">
        <v>74</v>
      </c>
      <c r="E120" s="14" t="s">
        <v>32</v>
      </c>
      <c r="F120" s="14" t="s">
        <v>75</v>
      </c>
      <c r="H120" s="1">
        <f>B120/$B$125*100</f>
        <v>0.16670686028883624</v>
      </c>
    </row>
    <row r="121" spans="2:8" ht="14.25" x14ac:dyDescent="0.2">
      <c r="B121" s="285">
        <f>'option 3.1 higher MSW recycling'!B109</f>
        <v>7.0066476733143404</v>
      </c>
      <c r="C121" s="14" t="s">
        <v>35</v>
      </c>
      <c r="D121" s="14" t="s">
        <v>76</v>
      </c>
      <c r="E121" s="14" t="s">
        <v>32</v>
      </c>
      <c r="F121" s="14" t="s">
        <v>75</v>
      </c>
      <c r="H121" s="1">
        <f>B121/$B$125*100</f>
        <v>0.5840281173841565</v>
      </c>
    </row>
    <row r="122" spans="2:8" ht="14.25" x14ac:dyDescent="0.2">
      <c r="B122" s="285">
        <f>'option 3.1 higher MSW recycling'!B110</f>
        <v>237</v>
      </c>
      <c r="C122" s="14" t="s">
        <v>35</v>
      </c>
      <c r="D122" s="14" t="s">
        <v>77</v>
      </c>
      <c r="E122" s="14" t="s">
        <v>32</v>
      </c>
      <c r="F122" s="14" t="s">
        <v>75</v>
      </c>
      <c r="H122" s="1">
        <f>B122/$B$125*100</f>
        <v>19.754762944227092</v>
      </c>
    </row>
    <row r="123" spans="2:8" ht="14.25" x14ac:dyDescent="0.2">
      <c r="B123" s="285">
        <f>'option 3.1 higher MSW recycling'!B111</f>
        <v>463.70402802101574</v>
      </c>
      <c r="C123" s="14" t="s">
        <v>35</v>
      </c>
      <c r="D123" s="14" t="s">
        <v>78</v>
      </c>
      <c r="E123" s="14" t="s">
        <v>32</v>
      </c>
      <c r="F123" s="14" t="s">
        <v>75</v>
      </c>
      <c r="H123" s="1">
        <f>B123/$B$125*100</f>
        <v>38.651321307335031</v>
      </c>
    </row>
    <row r="124" spans="2:8" ht="14.25" x14ac:dyDescent="0.2">
      <c r="B124" s="285">
        <f>'option 3.1 higher MSW recycling'!B112</f>
        <v>490</v>
      </c>
      <c r="C124" s="14" t="s">
        <v>35</v>
      </c>
      <c r="D124" s="14" t="s">
        <v>79</v>
      </c>
      <c r="E124" s="14" t="s">
        <v>32</v>
      </c>
      <c r="F124" s="14" t="s">
        <v>75</v>
      </c>
      <c r="H124" s="1">
        <f>B124/$B$125*100</f>
        <v>40.843180770764874</v>
      </c>
    </row>
    <row r="125" spans="2:8" ht="14.25" x14ac:dyDescent="0.2">
      <c r="B125" s="278">
        <f>SUM(B120:B124)</f>
        <v>1199.7106756943301</v>
      </c>
      <c r="C125" s="14"/>
      <c r="D125" s="14"/>
      <c r="E125" s="14"/>
      <c r="F125" s="14"/>
      <c r="H125" s="16">
        <f>SUM(H120:H124)</f>
        <v>100</v>
      </c>
    </row>
    <row r="126" spans="2:8" ht="14.25" x14ac:dyDescent="0.2">
      <c r="B126" s="285">
        <f>'option 3.1 higher MSW recycling'!B114</f>
        <v>3</v>
      </c>
      <c r="C126" s="14" t="s">
        <v>36</v>
      </c>
      <c r="D126" s="14" t="s">
        <v>76</v>
      </c>
      <c r="E126" s="14" t="s">
        <v>32</v>
      </c>
      <c r="F126" s="14" t="s">
        <v>75</v>
      </c>
      <c r="H126" s="1">
        <f>B126/$B$128*100</f>
        <v>20</v>
      </c>
    </row>
    <row r="127" spans="2:8" ht="14.25" x14ac:dyDescent="0.2">
      <c r="B127" s="285">
        <f>'option 3.1 higher MSW recycling'!B115</f>
        <v>12</v>
      </c>
      <c r="C127" s="14" t="s">
        <v>36</v>
      </c>
      <c r="D127" s="14" t="s">
        <v>77</v>
      </c>
      <c r="E127" s="14" t="s">
        <v>32</v>
      </c>
      <c r="F127" s="14" t="s">
        <v>75</v>
      </c>
      <c r="H127" s="1">
        <f>B127/$B$128*100</f>
        <v>80</v>
      </c>
    </row>
    <row r="128" spans="2:8" ht="14.25" x14ac:dyDescent="0.2">
      <c r="B128" s="278">
        <f>SUM(B126:B127)</f>
        <v>15</v>
      </c>
      <c r="C128" s="14"/>
      <c r="D128" s="14"/>
      <c r="E128" s="14"/>
      <c r="F128" s="14"/>
      <c r="H128" s="16">
        <f>SUM(H126:H127)</f>
        <v>100</v>
      </c>
    </row>
    <row r="129" spans="2:14" ht="14.25" x14ac:dyDescent="0.2">
      <c r="B129" s="285">
        <f>'option 3.1 higher MSW recycling'!B117</f>
        <v>38</v>
      </c>
      <c r="C129" s="14" t="s">
        <v>37</v>
      </c>
      <c r="D129" s="14" t="s">
        <v>77</v>
      </c>
      <c r="E129" s="14" t="s">
        <v>32</v>
      </c>
      <c r="F129" s="14" t="s">
        <v>75</v>
      </c>
      <c r="H129" s="1">
        <f>B129/$B$132*100</f>
        <v>15.698433315365806</v>
      </c>
    </row>
    <row r="130" spans="2:14" ht="14.25" x14ac:dyDescent="0.2">
      <c r="B130" s="285">
        <f>'option 3.1 higher MSW recycling'!B118</f>
        <v>184.06237168141593</v>
      </c>
      <c r="C130" s="14" t="s">
        <v>37</v>
      </c>
      <c r="D130" s="14" t="s">
        <v>78</v>
      </c>
      <c r="E130" s="14" t="s">
        <v>32</v>
      </c>
      <c r="F130" s="14" t="s">
        <v>75</v>
      </c>
      <c r="H130" s="1">
        <f>B130/$B$132*100</f>
        <v>76.03923336075745</v>
      </c>
    </row>
    <row r="131" spans="2:14" ht="14.25" x14ac:dyDescent="0.2">
      <c r="B131" s="285">
        <f>'option 3.1 higher MSW recycling'!B119</f>
        <v>20</v>
      </c>
      <c r="C131" s="14" t="s">
        <v>37</v>
      </c>
      <c r="D131" s="14" t="s">
        <v>79</v>
      </c>
      <c r="E131" s="14" t="s">
        <v>32</v>
      </c>
      <c r="F131" s="14" t="s">
        <v>75</v>
      </c>
      <c r="H131" s="1">
        <f>B131/$B$132*100</f>
        <v>8.2623333238767405</v>
      </c>
    </row>
    <row r="132" spans="2:14" ht="14.25" x14ac:dyDescent="0.2">
      <c r="B132" s="278">
        <f>SUM(B129:B131)</f>
        <v>242.06237168141593</v>
      </c>
      <c r="C132" s="14"/>
      <c r="D132" s="14"/>
      <c r="E132" s="14"/>
      <c r="F132" s="14"/>
      <c r="H132" s="16">
        <f>SUM(H129:H131)</f>
        <v>100</v>
      </c>
    </row>
    <row r="133" spans="2:14" ht="14.25" x14ac:dyDescent="0.2">
      <c r="B133" s="285">
        <f>'option 3.1 higher MSW recycling'!B121</f>
        <v>33</v>
      </c>
      <c r="C133" s="14" t="s">
        <v>31</v>
      </c>
      <c r="D133" s="14" t="s">
        <v>74</v>
      </c>
      <c r="E133" s="14" t="s">
        <v>32</v>
      </c>
      <c r="F133" s="14" t="s">
        <v>75</v>
      </c>
      <c r="H133" s="1">
        <f>B133/$B$138*100</f>
        <v>1.3032040037546095</v>
      </c>
    </row>
    <row r="134" spans="2:14" ht="14.25" x14ac:dyDescent="0.2">
      <c r="B134" s="285">
        <f>'option 3.1 higher MSW recycling'!B122</f>
        <v>7.4752475247524757</v>
      </c>
      <c r="C134" s="14" t="s">
        <v>31</v>
      </c>
      <c r="D134" s="14" t="s">
        <v>76</v>
      </c>
      <c r="E134" s="14" t="s">
        <v>32</v>
      </c>
      <c r="F134" s="14" t="s">
        <v>75</v>
      </c>
      <c r="H134" s="1">
        <f>B134/$B$138*100</f>
        <v>0.29520522737315635</v>
      </c>
    </row>
    <row r="135" spans="2:14" ht="14.25" x14ac:dyDescent="0.2">
      <c r="B135" s="285">
        <f>'option 3.1 higher MSW recycling'!B123</f>
        <v>61</v>
      </c>
      <c r="C135" s="14" t="s">
        <v>31</v>
      </c>
      <c r="D135" s="14" t="s">
        <v>77</v>
      </c>
      <c r="E135" s="14" t="s">
        <v>32</v>
      </c>
      <c r="F135" s="14" t="s">
        <v>75</v>
      </c>
      <c r="H135" s="1">
        <f>B135/$B$138*100</f>
        <v>2.4089528554251873</v>
      </c>
    </row>
    <row r="136" spans="2:14" ht="14.25" x14ac:dyDescent="0.2">
      <c r="B136" s="285">
        <f>'option 3.1 higher MSW recycling'!B124</f>
        <v>2244.7453338212999</v>
      </c>
      <c r="C136" s="14" t="s">
        <v>31</v>
      </c>
      <c r="D136" s="14" t="s">
        <v>78</v>
      </c>
      <c r="E136" s="14" t="s">
        <v>32</v>
      </c>
      <c r="F136" s="14" t="s">
        <v>75</v>
      </c>
      <c r="H136" s="1">
        <f>B136/$B$138*100</f>
        <v>88.647306255921066</v>
      </c>
    </row>
    <row r="137" spans="2:14" ht="14.25" x14ac:dyDescent="0.2">
      <c r="B137" s="285">
        <f>'option 3.1 higher MSW recycling'!B125</f>
        <v>186</v>
      </c>
      <c r="C137" s="14" t="s">
        <v>31</v>
      </c>
      <c r="D137" s="14" t="s">
        <v>79</v>
      </c>
      <c r="E137" s="14" t="s">
        <v>32</v>
      </c>
      <c r="F137" s="14" t="s">
        <v>75</v>
      </c>
      <c r="H137" s="1">
        <f>B137/$B$138*100</f>
        <v>7.3453316575259802</v>
      </c>
    </row>
    <row r="138" spans="2:14" ht="14.25" x14ac:dyDescent="0.2">
      <c r="B138" s="278">
        <f>SUM(B133:B137)</f>
        <v>2532.2205813460523</v>
      </c>
      <c r="C138" s="14"/>
      <c r="D138" s="14"/>
      <c r="E138" s="14"/>
      <c r="F138" s="14"/>
      <c r="H138" s="16">
        <f>SUM(H133:H137)</f>
        <v>100</v>
      </c>
    </row>
    <row r="139" spans="2:14" ht="14.25" x14ac:dyDescent="0.2">
      <c r="B139" s="13"/>
      <c r="C139" s="14"/>
      <c r="D139" s="14"/>
      <c r="E139" s="14"/>
      <c r="F139" s="14"/>
    </row>
    <row r="140" spans="2:14" ht="14.25" x14ac:dyDescent="0.2">
      <c r="B140" s="13" t="s">
        <v>34</v>
      </c>
      <c r="C140" s="14" t="s">
        <v>81</v>
      </c>
      <c r="D140" s="14" t="s">
        <v>62</v>
      </c>
      <c r="E140" s="14"/>
      <c r="F140" s="14"/>
      <c r="H140" s="149">
        <f>'option 3.1 higher MSW recycling'!H128</f>
        <v>83.057979393622716</v>
      </c>
      <c r="I140" t="s">
        <v>2</v>
      </c>
    </row>
    <row r="141" spans="2:14" ht="14.25" x14ac:dyDescent="0.2">
      <c r="B141" s="15"/>
      <c r="C141" s="14"/>
      <c r="D141" s="14" t="s">
        <v>63</v>
      </c>
      <c r="E141" s="14"/>
      <c r="F141" s="14"/>
      <c r="H141" s="150">
        <f>'option 3.1 higher MSW recycling'!H129</f>
        <v>4.2372390540296649</v>
      </c>
      <c r="I141" t="s">
        <v>2</v>
      </c>
      <c r="L141" t="s">
        <v>112</v>
      </c>
    </row>
    <row r="142" spans="2:14" ht="14.25" x14ac:dyDescent="0.2">
      <c r="B142" s="13"/>
      <c r="C142" s="14"/>
      <c r="D142" s="36" t="s">
        <v>76</v>
      </c>
      <c r="E142" s="36"/>
      <c r="F142" s="36"/>
      <c r="G142" s="37"/>
      <c r="H142" s="207">
        <f>'option 3.1 higher MSW recycling'!H130</f>
        <v>4.1280488678999632</v>
      </c>
      <c r="I142" s="37" t="s">
        <v>2</v>
      </c>
      <c r="L142" t="s">
        <v>113</v>
      </c>
      <c r="M142" s="108">
        <f>K42</f>
        <v>84.589204090433412</v>
      </c>
      <c r="N142" t="s">
        <v>2</v>
      </c>
    </row>
    <row r="143" spans="2:14" ht="14.25" x14ac:dyDescent="0.2">
      <c r="B143" s="13"/>
      <c r="C143" s="14"/>
      <c r="D143" s="14" t="s">
        <v>113</v>
      </c>
      <c r="E143" s="14"/>
      <c r="F143" s="14"/>
      <c r="H143" s="150">
        <f>H142*M142/100</f>
        <v>3.4918836818207257</v>
      </c>
      <c r="I143" t="s">
        <v>2</v>
      </c>
      <c r="L143" t="s">
        <v>114</v>
      </c>
      <c r="M143" s="108">
        <f>K43</f>
        <v>15.410795909566593</v>
      </c>
      <c r="N143" t="s">
        <v>2</v>
      </c>
    </row>
    <row r="144" spans="2:14" ht="14.25" x14ac:dyDescent="0.2">
      <c r="B144" s="13"/>
      <c r="C144" s="14"/>
      <c r="D144" s="14" t="s">
        <v>114</v>
      </c>
      <c r="E144" s="14"/>
      <c r="F144" s="14"/>
      <c r="H144" s="150">
        <f>H142*M143/100</f>
        <v>0.63616518607923755</v>
      </c>
      <c r="I144" t="s">
        <v>2</v>
      </c>
    </row>
    <row r="145" spans="2:9" ht="14.25" x14ac:dyDescent="0.2">
      <c r="B145" s="13"/>
      <c r="C145" s="14"/>
      <c r="D145" s="14" t="s">
        <v>65</v>
      </c>
      <c r="E145" s="14"/>
      <c r="F145" s="14"/>
      <c r="H145" s="150">
        <f>'option 3.1 higher MSW recycling'!H131</f>
        <v>7.4750323704561428</v>
      </c>
      <c r="I145" t="s">
        <v>2</v>
      </c>
    </row>
    <row r="146" spans="2:9" ht="14.25" x14ac:dyDescent="0.2">
      <c r="B146" s="13"/>
      <c r="C146" s="14"/>
      <c r="D146" s="14" t="s">
        <v>106</v>
      </c>
      <c r="E146" s="14"/>
      <c r="F146" s="14"/>
      <c r="H146" s="150">
        <f>'option 3.1 higher MSW recycling'!H132</f>
        <v>0.7320328104678786</v>
      </c>
      <c r="I146" t="s">
        <v>2</v>
      </c>
    </row>
    <row r="147" spans="2:9" ht="14.25" x14ac:dyDescent="0.2">
      <c r="B147" s="15"/>
      <c r="C147" s="14"/>
      <c r="D147" s="14" t="s">
        <v>82</v>
      </c>
      <c r="E147" s="14"/>
      <c r="F147" s="14"/>
      <c r="H147" s="151">
        <f>'option 3.1 higher MSW recycling'!H133</f>
        <v>0.36966750352363531</v>
      </c>
      <c r="I147" t="s">
        <v>2</v>
      </c>
    </row>
    <row r="148" spans="2:9" ht="14.25" x14ac:dyDescent="0.2">
      <c r="B148" s="13"/>
      <c r="C148" s="14"/>
      <c r="D148" s="14"/>
      <c r="E148" s="14"/>
      <c r="F148" s="14"/>
      <c r="H148" s="1">
        <f>SUM(H140:H147)-H142</f>
        <v>100.00000000000001</v>
      </c>
      <c r="I148" t="s">
        <v>2</v>
      </c>
    </row>
    <row r="149" spans="2:9" ht="14.25" x14ac:dyDescent="0.2">
      <c r="B149" s="13"/>
      <c r="C149" s="14"/>
      <c r="D149" s="14"/>
      <c r="E149" s="14"/>
      <c r="F149" s="14"/>
    </row>
    <row r="150" spans="2:9" ht="14.25" x14ac:dyDescent="0.2">
      <c r="B150" s="13" t="s">
        <v>7</v>
      </c>
      <c r="C150" s="14" t="s">
        <v>81</v>
      </c>
      <c r="D150" s="14" t="s">
        <v>62</v>
      </c>
      <c r="E150" s="14"/>
      <c r="F150" s="14"/>
      <c r="H150" s="149">
        <f>'option 3.1 higher MSW recycling'!H136</f>
        <v>76.266452509653249</v>
      </c>
      <c r="I150" t="s">
        <v>2</v>
      </c>
    </row>
    <row r="151" spans="2:9" ht="14.25" x14ac:dyDescent="0.2">
      <c r="B151" s="15"/>
      <c r="C151" s="14"/>
      <c r="D151" s="14" t="s">
        <v>63</v>
      </c>
      <c r="E151" s="14"/>
      <c r="F151" s="14"/>
      <c r="H151" s="150">
        <f>'option 3.1 higher MSW recycling'!H137</f>
        <v>0</v>
      </c>
      <c r="I151" t="s">
        <v>2</v>
      </c>
    </row>
    <row r="152" spans="2:9" ht="14.25" x14ac:dyDescent="0.2">
      <c r="B152" s="13"/>
      <c r="C152" s="14"/>
      <c r="D152" s="36" t="s">
        <v>76</v>
      </c>
      <c r="E152" s="36"/>
      <c r="F152" s="36"/>
      <c r="G152" s="37"/>
      <c r="H152" s="207">
        <f>'option 3.1 higher MSW recycling'!H138</f>
        <v>0.68158711500309332</v>
      </c>
      <c r="I152" s="37" t="s">
        <v>2</v>
      </c>
    </row>
    <row r="153" spans="2:9" ht="14.25" x14ac:dyDescent="0.2">
      <c r="B153" s="13"/>
      <c r="C153" s="14"/>
      <c r="D153" s="14" t="s">
        <v>113</v>
      </c>
      <c r="E153" s="14"/>
      <c r="F153" s="14"/>
      <c r="H153" s="150">
        <f>H152*M142/100</f>
        <v>0.57654911576406365</v>
      </c>
      <c r="I153" t="s">
        <v>2</v>
      </c>
    </row>
    <row r="154" spans="2:9" ht="14.25" x14ac:dyDescent="0.2">
      <c r="B154" s="13"/>
      <c r="C154" s="14"/>
      <c r="D154" s="14" t="s">
        <v>114</v>
      </c>
      <c r="E154" s="14"/>
      <c r="F154" s="14"/>
      <c r="H154" s="150">
        <f>H152*M143/100</f>
        <v>0.10503799923902965</v>
      </c>
      <c r="I154" t="s">
        <v>2</v>
      </c>
    </row>
    <row r="155" spans="2:9" ht="14.25" x14ac:dyDescent="0.2">
      <c r="B155" s="13"/>
      <c r="C155" s="14"/>
      <c r="D155" s="14" t="s">
        <v>65</v>
      </c>
      <c r="E155" s="14"/>
      <c r="F155" s="14"/>
      <c r="H155" s="150">
        <f>'option 3.1 higher MSW recycling'!H139</f>
        <v>8.5929065463644907</v>
      </c>
      <c r="I155" t="s">
        <v>2</v>
      </c>
    </row>
    <row r="156" spans="2:9" ht="14.25" x14ac:dyDescent="0.2">
      <c r="B156" s="13"/>
      <c r="C156" s="14"/>
      <c r="D156" s="14" t="s">
        <v>106</v>
      </c>
      <c r="E156" s="21"/>
      <c r="F156" s="21"/>
      <c r="H156" s="150">
        <f>'option 3.1 higher MSW recycling'!H140</f>
        <v>13.652331592648871</v>
      </c>
      <c r="I156" t="s">
        <v>2</v>
      </c>
    </row>
    <row r="157" spans="2:9" ht="14.25" x14ac:dyDescent="0.2">
      <c r="B157" s="15"/>
      <c r="C157" s="14"/>
      <c r="D157" s="14" t="s">
        <v>82</v>
      </c>
      <c r="H157" s="151">
        <f>'option 3.1 higher MSW recycling'!H141</f>
        <v>0.80672223633030016</v>
      </c>
      <c r="I157" t="s">
        <v>2</v>
      </c>
    </row>
    <row r="158" spans="2:9" x14ac:dyDescent="0.2">
      <c r="H158" s="1">
        <f>SUM(H150:H157)-H152</f>
        <v>100.00000000000001</v>
      </c>
      <c r="I158" t="s">
        <v>2</v>
      </c>
    </row>
    <row r="160" spans="2:9" x14ac:dyDescent="0.2">
      <c r="B160" s="84" t="s">
        <v>85</v>
      </c>
      <c r="C160" s="53"/>
    </row>
    <row r="161" spans="2:21" ht="13.5" thickBot="1" x14ac:dyDescent="0.25">
      <c r="D161">
        <v>2012</v>
      </c>
      <c r="E161">
        <v>2020</v>
      </c>
      <c r="F161">
        <v>2025</v>
      </c>
      <c r="G161">
        <v>2030</v>
      </c>
    </row>
    <row r="162" spans="2:21" ht="13.5" thickTop="1" x14ac:dyDescent="0.2">
      <c r="B162" t="s">
        <v>86</v>
      </c>
      <c r="D162" s="2">
        <f>'option 1 full implementation'!D163</f>
        <v>34.3115250426887</v>
      </c>
      <c r="E162" s="159">
        <v>45</v>
      </c>
      <c r="F162" s="162">
        <v>60</v>
      </c>
      <c r="G162" s="163">
        <v>60</v>
      </c>
      <c r="I162" t="s">
        <v>211</v>
      </c>
    </row>
    <row r="163" spans="2:21" x14ac:dyDescent="0.2">
      <c r="B163" t="s">
        <v>87</v>
      </c>
      <c r="D163" s="2">
        <f>'option 1 full implementation'!D164</f>
        <v>71.162589235423198</v>
      </c>
      <c r="E163" s="160">
        <v>70</v>
      </c>
      <c r="F163" s="164">
        <v>80</v>
      </c>
      <c r="G163" s="165">
        <v>90</v>
      </c>
    </row>
    <row r="164" spans="2:21" ht="13.5" thickBot="1" x14ac:dyDescent="0.25">
      <c r="B164" t="s">
        <v>88</v>
      </c>
      <c r="D164" s="2">
        <f>'option 1 full implementation'!D165</f>
        <v>72.277569276209135</v>
      </c>
      <c r="E164" s="160"/>
      <c r="F164" s="164"/>
      <c r="G164" s="165"/>
    </row>
    <row r="165" spans="2:21" ht="13.5" thickTop="1" x14ac:dyDescent="0.2">
      <c r="B165" t="s">
        <v>195</v>
      </c>
      <c r="D165" s="168">
        <v>56.535148150433997</v>
      </c>
      <c r="E165" s="160">
        <v>85</v>
      </c>
      <c r="F165" s="164">
        <v>90</v>
      </c>
      <c r="G165" s="165">
        <v>90</v>
      </c>
    </row>
    <row r="166" spans="2:21" ht="13.5" thickBot="1" x14ac:dyDescent="0.25">
      <c r="B166" t="s">
        <v>194</v>
      </c>
      <c r="D166" s="169">
        <v>74.911593431091845</v>
      </c>
      <c r="E166" s="160">
        <v>70</v>
      </c>
      <c r="F166" s="164">
        <v>80</v>
      </c>
      <c r="G166" s="165">
        <v>90</v>
      </c>
    </row>
    <row r="167" spans="2:21" ht="13.5" thickTop="1" x14ac:dyDescent="0.2">
      <c r="B167" t="s">
        <v>89</v>
      </c>
      <c r="D167" s="2">
        <f>'option 1 full implementation'!D166</f>
        <v>82.956538079896461</v>
      </c>
      <c r="E167" s="160">
        <v>85</v>
      </c>
      <c r="F167" s="164">
        <v>90</v>
      </c>
      <c r="G167" s="165">
        <v>90</v>
      </c>
    </row>
    <row r="168" spans="2:21" ht="13.5" thickBot="1" x14ac:dyDescent="0.25">
      <c r="B168" t="s">
        <v>104</v>
      </c>
      <c r="D168" s="2">
        <f>'option 1 full implementation'!D167</f>
        <v>37.687432530831366</v>
      </c>
      <c r="E168" s="161">
        <v>50</v>
      </c>
      <c r="F168" s="166">
        <v>65</v>
      </c>
      <c r="G168" s="167">
        <v>80</v>
      </c>
    </row>
    <row r="169" spans="2:21" ht="13.5" thickTop="1" x14ac:dyDescent="0.2"/>
    <row r="170" spans="2:21" x14ac:dyDescent="0.2">
      <c r="B170" t="s">
        <v>23</v>
      </c>
      <c r="D170" s="1">
        <v>2012</v>
      </c>
      <c r="E170" s="1">
        <v>2020</v>
      </c>
      <c r="F170" s="171">
        <v>2025</v>
      </c>
      <c r="G170" s="171">
        <v>2030</v>
      </c>
      <c r="I170">
        <v>2020</v>
      </c>
      <c r="M170">
        <v>2025</v>
      </c>
      <c r="Q170">
        <v>2030</v>
      </c>
      <c r="R170"/>
      <c r="U170" s="1"/>
    </row>
    <row r="171" spans="2:21" x14ac:dyDescent="0.2">
      <c r="I171" t="s">
        <v>24</v>
      </c>
      <c r="J171" t="s">
        <v>197</v>
      </c>
      <c r="K171" t="s">
        <v>90</v>
      </c>
      <c r="L171" s="1"/>
      <c r="M171" t="str">
        <f>I171</f>
        <v>decrease</v>
      </c>
      <c r="N171" t="s">
        <v>238</v>
      </c>
      <c r="O171" t="str">
        <f>K171</f>
        <v>no disposal increase</v>
      </c>
      <c r="Q171" t="str">
        <f>I171</f>
        <v>decrease</v>
      </c>
      <c r="R171" t="s">
        <v>197</v>
      </c>
      <c r="S171" t="str">
        <f>K171</f>
        <v>no disposal increase</v>
      </c>
      <c r="U171" s="1"/>
    </row>
    <row r="172" spans="2:21" x14ac:dyDescent="0.2">
      <c r="B172" t="str">
        <f t="shared" ref="B172:B178" si="65">B162</f>
        <v>plastic packaging</v>
      </c>
      <c r="D172" s="2">
        <f t="shared" ref="D172:G173" si="66">100-D162</f>
        <v>65.6884749573113</v>
      </c>
      <c r="E172" s="2">
        <f t="shared" si="66"/>
        <v>55</v>
      </c>
      <c r="F172" s="2">
        <f t="shared" si="66"/>
        <v>40</v>
      </c>
      <c r="G172" s="2">
        <f t="shared" si="66"/>
        <v>40</v>
      </c>
      <c r="I172" s="2">
        <f>D172-E172</f>
        <v>10.6884749573113</v>
      </c>
      <c r="J172" s="2">
        <f>I172/D172*100</f>
        <v>16.271461568041236</v>
      </c>
      <c r="K172" s="172">
        <f>IF(J172&lt;0,0,J172)</f>
        <v>16.271461568041236</v>
      </c>
      <c r="L172" s="1" t="s">
        <v>2</v>
      </c>
      <c r="M172" s="2">
        <f>D172-F172</f>
        <v>25.6884749573113</v>
      </c>
      <c r="N172" s="2">
        <f>M172/D172*100</f>
        <v>39.106517504029995</v>
      </c>
      <c r="O172" s="172">
        <f>IF(N172&lt;0,0,N172)</f>
        <v>39.106517504029995</v>
      </c>
      <c r="P172" t="s">
        <v>2</v>
      </c>
      <c r="Q172" s="2">
        <f>D172-G172</f>
        <v>25.6884749573113</v>
      </c>
      <c r="R172" s="2">
        <f>Q172/D172*100</f>
        <v>39.106517504029995</v>
      </c>
      <c r="S172" s="172">
        <f>IF(R172&lt;0,0,R172)</f>
        <v>39.106517504029995</v>
      </c>
      <c r="T172" t="s">
        <v>2</v>
      </c>
      <c r="U172" s="1"/>
    </row>
    <row r="173" spans="2:21" x14ac:dyDescent="0.2">
      <c r="B173" t="str">
        <f t="shared" si="65"/>
        <v>glass packaging</v>
      </c>
      <c r="D173" s="2">
        <f t="shared" si="66"/>
        <v>28.837410764576802</v>
      </c>
      <c r="E173" s="2">
        <f t="shared" si="66"/>
        <v>30</v>
      </c>
      <c r="F173" s="2">
        <f t="shared" si="66"/>
        <v>20</v>
      </c>
      <c r="G173" s="2">
        <f t="shared" si="66"/>
        <v>10</v>
      </c>
      <c r="I173" s="2">
        <f>D173-E173</f>
        <v>-1.1625892354231979</v>
      </c>
      <c r="J173" s="2">
        <f t="shared" ref="J173:J178" si="67">I173/D173*100</f>
        <v>-4.0315312803717287</v>
      </c>
      <c r="K173" s="173">
        <f t="shared" ref="K173:K178" si="68">IF(J173&lt;0,0,J173)</f>
        <v>0</v>
      </c>
      <c r="L173" s="1" t="s">
        <v>2</v>
      </c>
      <c r="M173" s="2">
        <f>D173-F173</f>
        <v>8.8374107645768021</v>
      </c>
      <c r="N173" s="2">
        <f t="shared" ref="N173:N178" si="69">M173/D173*100</f>
        <v>30.645645813085515</v>
      </c>
      <c r="O173" s="173">
        <f t="shared" ref="O173:O178" si="70">IF(N173&lt;0,0,N173)</f>
        <v>30.645645813085515</v>
      </c>
      <c r="P173" t="s">
        <v>2</v>
      </c>
      <c r="Q173" s="2">
        <f>D173-G173</f>
        <v>18.837410764576802</v>
      </c>
      <c r="R173" s="2">
        <f t="shared" ref="R173:R178" si="71">Q173/D173*100</f>
        <v>65.322822906542754</v>
      </c>
      <c r="S173" s="173">
        <f t="shared" ref="S173:S178" si="72">IF(R173&lt;0,0,R173)</f>
        <v>65.322822906542754</v>
      </c>
      <c r="T173" t="s">
        <v>2</v>
      </c>
      <c r="U173" s="1"/>
    </row>
    <row r="174" spans="2:21" x14ac:dyDescent="0.2">
      <c r="B174" t="str">
        <f t="shared" si="65"/>
        <v>metal packaging</v>
      </c>
      <c r="D174" s="2"/>
      <c r="E174" s="2"/>
      <c r="F174" s="2"/>
      <c r="G174" s="2"/>
      <c r="I174" s="2"/>
      <c r="J174" s="2"/>
      <c r="K174" s="173"/>
      <c r="L174" s="1"/>
      <c r="M174" s="2"/>
      <c r="N174" s="2"/>
      <c r="O174" s="173"/>
      <c r="Q174" s="2"/>
      <c r="R174" s="2"/>
      <c r="S174" s="173"/>
      <c r="U174" s="1"/>
    </row>
    <row r="175" spans="2:21" x14ac:dyDescent="0.2">
      <c r="B175" t="str">
        <f t="shared" si="65"/>
        <v>non-ferrous packaging</v>
      </c>
      <c r="D175" s="2">
        <f t="shared" ref="D175:G178" si="73">100-D165</f>
        <v>43.464851849566003</v>
      </c>
      <c r="E175" s="2">
        <f t="shared" si="73"/>
        <v>15</v>
      </c>
      <c r="F175" s="2">
        <f t="shared" si="73"/>
        <v>10</v>
      </c>
      <c r="G175" s="2">
        <f t="shared" si="73"/>
        <v>10</v>
      </c>
      <c r="I175" s="2">
        <f>D175-E175</f>
        <v>28.464851849566003</v>
      </c>
      <c r="J175" s="2">
        <f t="shared" si="67"/>
        <v>65.489356660145219</v>
      </c>
      <c r="K175" s="173">
        <f t="shared" si="68"/>
        <v>65.489356660145219</v>
      </c>
      <c r="L175" s="1" t="s">
        <v>2</v>
      </c>
      <c r="M175" s="2">
        <f>D175-F175</f>
        <v>33.464851849566003</v>
      </c>
      <c r="N175" s="2">
        <f t="shared" si="69"/>
        <v>76.992904440096808</v>
      </c>
      <c r="O175" s="173">
        <f t="shared" si="70"/>
        <v>76.992904440096808</v>
      </c>
      <c r="P175" t="s">
        <v>2</v>
      </c>
      <c r="Q175" s="2">
        <f>D175-G175</f>
        <v>33.464851849566003</v>
      </c>
      <c r="R175" s="2">
        <f t="shared" si="71"/>
        <v>76.992904440096808</v>
      </c>
      <c r="S175" s="173">
        <f t="shared" si="72"/>
        <v>76.992904440096808</v>
      </c>
      <c r="T175" t="s">
        <v>2</v>
      </c>
      <c r="U175" s="1"/>
    </row>
    <row r="176" spans="2:21" x14ac:dyDescent="0.2">
      <c r="B176" t="str">
        <f t="shared" si="65"/>
        <v>ferrous packaging</v>
      </c>
      <c r="D176" s="2">
        <f t="shared" si="73"/>
        <v>25.088406568908155</v>
      </c>
      <c r="E176" s="2">
        <f t="shared" si="73"/>
        <v>30</v>
      </c>
      <c r="F176" s="2">
        <f t="shared" si="73"/>
        <v>20</v>
      </c>
      <c r="G176" s="2">
        <f t="shared" si="73"/>
        <v>10</v>
      </c>
      <c r="I176" s="2">
        <f>D176-E176</f>
        <v>-4.9115934310918448</v>
      </c>
      <c r="J176" s="2">
        <f t="shared" si="67"/>
        <v>-19.577143799872644</v>
      </c>
      <c r="K176" s="173">
        <f t="shared" si="68"/>
        <v>0</v>
      </c>
      <c r="L176" s="1" t="s">
        <v>2</v>
      </c>
      <c r="M176" s="2">
        <f>D176-F176</f>
        <v>5.0884065689081552</v>
      </c>
      <c r="N176" s="2">
        <f t="shared" si="69"/>
        <v>20.281904133418234</v>
      </c>
      <c r="O176" s="173">
        <f t="shared" si="70"/>
        <v>20.281904133418234</v>
      </c>
      <c r="P176" t="s">
        <v>2</v>
      </c>
      <c r="Q176" s="2">
        <f>D176-G176</f>
        <v>15.088406568908155</v>
      </c>
      <c r="R176" s="2">
        <f t="shared" si="71"/>
        <v>60.140952066709119</v>
      </c>
      <c r="S176" s="173">
        <f t="shared" si="72"/>
        <v>60.140952066709119</v>
      </c>
      <c r="T176" t="s">
        <v>2</v>
      </c>
      <c r="U176" s="1"/>
    </row>
    <row r="177" spans="1:49" x14ac:dyDescent="0.2">
      <c r="B177" t="str">
        <f t="shared" si="65"/>
        <v>paper packaging</v>
      </c>
      <c r="D177" s="2">
        <f t="shared" si="73"/>
        <v>17.043461920103539</v>
      </c>
      <c r="E177" s="2">
        <f t="shared" si="73"/>
        <v>15</v>
      </c>
      <c r="F177" s="2">
        <f t="shared" si="73"/>
        <v>10</v>
      </c>
      <c r="G177" s="2">
        <f t="shared" si="73"/>
        <v>10</v>
      </c>
      <c r="I177" s="2">
        <f>D177-E177</f>
        <v>2.0434619201035389</v>
      </c>
      <c r="J177" s="2">
        <f t="shared" si="67"/>
        <v>11.989711536792784</v>
      </c>
      <c r="K177" s="173">
        <f t="shared" si="68"/>
        <v>11.989711536792784</v>
      </c>
      <c r="L177" s="1" t="s">
        <v>2</v>
      </c>
      <c r="M177" s="2">
        <f>D177-F177</f>
        <v>7.0434619201035389</v>
      </c>
      <c r="N177" s="2">
        <f t="shared" si="69"/>
        <v>41.326474357861855</v>
      </c>
      <c r="O177" s="173">
        <f t="shared" si="70"/>
        <v>41.326474357861855</v>
      </c>
      <c r="P177" t="s">
        <v>2</v>
      </c>
      <c r="Q177" s="2">
        <f>D177-G177</f>
        <v>7.0434619201035389</v>
      </c>
      <c r="R177" s="2">
        <f t="shared" si="71"/>
        <v>41.326474357861855</v>
      </c>
      <c r="S177" s="173">
        <f t="shared" si="72"/>
        <v>41.326474357861855</v>
      </c>
      <c r="T177" t="s">
        <v>2</v>
      </c>
      <c r="U177" s="1"/>
    </row>
    <row r="178" spans="1:49" s="4" customFormat="1" x14ac:dyDescent="0.2">
      <c r="A178"/>
      <c r="B178" t="str">
        <f t="shared" si="65"/>
        <v>wood packaging</v>
      </c>
      <c r="C178"/>
      <c r="D178" s="2">
        <f t="shared" si="73"/>
        <v>62.312567469168634</v>
      </c>
      <c r="E178" s="2">
        <f t="shared" si="73"/>
        <v>50</v>
      </c>
      <c r="F178" s="2">
        <f t="shared" si="73"/>
        <v>35</v>
      </c>
      <c r="G178" s="2">
        <f t="shared" si="73"/>
        <v>20</v>
      </c>
      <c r="H178" s="1"/>
      <c r="I178" s="2">
        <f>D178-E178</f>
        <v>12.312567469168634</v>
      </c>
      <c r="J178" s="2">
        <f t="shared" si="67"/>
        <v>19.759364714446594</v>
      </c>
      <c r="K178" s="174">
        <f t="shared" si="68"/>
        <v>19.759364714446594</v>
      </c>
      <c r="L178" s="1" t="s">
        <v>2</v>
      </c>
      <c r="M178" s="2">
        <f>D178-F178</f>
        <v>27.312567469168634</v>
      </c>
      <c r="N178" s="2">
        <f t="shared" si="69"/>
        <v>43.831555300112619</v>
      </c>
      <c r="O178" s="174">
        <f t="shared" si="70"/>
        <v>43.831555300112619</v>
      </c>
      <c r="P178" t="s">
        <v>2</v>
      </c>
      <c r="Q178" s="2">
        <f>D178-G178</f>
        <v>42.312567469168634</v>
      </c>
      <c r="R178" s="2">
        <f t="shared" si="71"/>
        <v>67.903745885778633</v>
      </c>
      <c r="S178" s="174">
        <f t="shared" si="72"/>
        <v>67.903745885778633</v>
      </c>
      <c r="T178" t="s">
        <v>2</v>
      </c>
      <c r="U178" s="1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81" spans="1:49" x14ac:dyDescent="0.2">
      <c r="B181" s="84" t="s">
        <v>92</v>
      </c>
      <c r="C181" s="53"/>
    </row>
    <row r="182" spans="1:49" x14ac:dyDescent="0.2">
      <c r="B182" t="str">
        <f>'option 3.1 higher MSW recycling'!B164</f>
        <v>as in option 1</v>
      </c>
    </row>
    <row r="183" spans="1:49" ht="14.25" x14ac:dyDescent="0.2">
      <c r="B183" s="12" t="s">
        <v>93</v>
      </c>
      <c r="C183" s="12" t="s">
        <v>69</v>
      </c>
      <c r="D183" s="12" t="s">
        <v>70</v>
      </c>
      <c r="E183" s="12" t="s">
        <v>73</v>
      </c>
    </row>
    <row r="184" spans="1:49" ht="14.25" x14ac:dyDescent="0.2">
      <c r="B184" s="14" t="s">
        <v>63</v>
      </c>
      <c r="C184" s="13">
        <f>'option 3.1 higher MSW recycling'!C166</f>
        <v>219</v>
      </c>
      <c r="D184" s="14" t="s">
        <v>35</v>
      </c>
      <c r="E184" s="14" t="s">
        <v>34</v>
      </c>
      <c r="G184" s="20" t="s">
        <v>62</v>
      </c>
      <c r="H184" s="1">
        <f>C188/C190*100</f>
        <v>43.469327854417379</v>
      </c>
      <c r="I184" s="21" t="s">
        <v>2</v>
      </c>
    </row>
    <row r="185" spans="1:49" s="4" customFormat="1" ht="14.25" x14ac:dyDescent="0.2">
      <c r="A185"/>
      <c r="B185" s="14" t="s">
        <v>64</v>
      </c>
      <c r="C185" s="13">
        <f>'option 3.1 higher MSW recycling'!C167</f>
        <v>1062</v>
      </c>
      <c r="D185" s="14" t="s">
        <v>35</v>
      </c>
      <c r="E185" s="14" t="s">
        <v>34</v>
      </c>
      <c r="F185"/>
      <c r="G185" s="20" t="s">
        <v>63</v>
      </c>
      <c r="H185" s="1">
        <f>C184/C190*100</f>
        <v>2.1426474904608162</v>
      </c>
      <c r="I185" s="21" t="s">
        <v>2</v>
      </c>
      <c r="J185"/>
      <c r="K185"/>
      <c r="L185"/>
      <c r="M185"/>
      <c r="N185"/>
      <c r="O185"/>
      <c r="P185"/>
      <c r="Q185"/>
      <c r="R185" s="1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9" ht="14.25" x14ac:dyDescent="0.2">
      <c r="B186" s="14" t="s">
        <v>82</v>
      </c>
      <c r="C186" s="13">
        <f>'option 3.1 higher MSW recycling'!C168</f>
        <v>1000</v>
      </c>
      <c r="D186" s="14" t="s">
        <v>35</v>
      </c>
      <c r="E186" s="14" t="s">
        <v>34</v>
      </c>
      <c r="G186" s="20" t="s">
        <v>76</v>
      </c>
      <c r="H186" s="1">
        <f>C185/C190*100</f>
        <v>10.390372761960668</v>
      </c>
      <c r="I186" s="21" t="s">
        <v>2</v>
      </c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1:49" ht="14.25" x14ac:dyDescent="0.2">
      <c r="B187" s="14" t="s">
        <v>65</v>
      </c>
      <c r="C187" s="13">
        <f>'option 3.1 higher MSW recycling'!C169</f>
        <v>3268</v>
      </c>
      <c r="D187" s="14" t="s">
        <v>35</v>
      </c>
      <c r="E187" s="14" t="s">
        <v>34</v>
      </c>
      <c r="G187" s="21" t="s">
        <v>65</v>
      </c>
      <c r="H187" s="1">
        <f>C187/C190*100</f>
        <v>31.973388122492906</v>
      </c>
      <c r="I187" s="21" t="s">
        <v>2</v>
      </c>
    </row>
    <row r="188" spans="1:49" ht="14.25" x14ac:dyDescent="0.2">
      <c r="B188" s="14" t="s">
        <v>94</v>
      </c>
      <c r="C188" s="13">
        <f>'option 3.1 higher MSW recycling'!C170</f>
        <v>4443</v>
      </c>
      <c r="D188" s="14" t="s">
        <v>35</v>
      </c>
      <c r="E188" s="14" t="s">
        <v>34</v>
      </c>
      <c r="G188" s="21" t="s">
        <v>106</v>
      </c>
      <c r="H188" s="1">
        <f>C189/C190*100</f>
        <v>2.2404852754133646</v>
      </c>
      <c r="I188" s="21" t="s">
        <v>2</v>
      </c>
    </row>
    <row r="189" spans="1:49" ht="14.25" x14ac:dyDescent="0.2">
      <c r="B189" s="14" t="s">
        <v>106</v>
      </c>
      <c r="C189" s="13">
        <f>'option 3.1 higher MSW recycling'!C171</f>
        <v>229</v>
      </c>
      <c r="D189" s="14" t="s">
        <v>35</v>
      </c>
      <c r="E189" s="14" t="s">
        <v>34</v>
      </c>
      <c r="G189" s="21" t="s">
        <v>82</v>
      </c>
      <c r="H189" s="1">
        <f>C186/C190*100</f>
        <v>9.7837784952548681</v>
      </c>
      <c r="I189" s="21" t="s">
        <v>2</v>
      </c>
    </row>
    <row r="190" spans="1:49" ht="14.25" x14ac:dyDescent="0.2">
      <c r="A190" s="4"/>
      <c r="B190" s="22"/>
      <c r="C190" s="15">
        <f>SUM(C184:C189)</f>
        <v>10221</v>
      </c>
      <c r="D190" s="22"/>
      <c r="E190" s="22"/>
      <c r="F190" s="4"/>
      <c r="G190" s="4"/>
      <c r="H190" s="16">
        <f>SUM(H184:H189)</f>
        <v>100</v>
      </c>
      <c r="I190" s="4"/>
      <c r="J190" s="4"/>
      <c r="K190" s="4"/>
      <c r="L190" s="4"/>
      <c r="M190" s="4"/>
      <c r="N190" s="4"/>
      <c r="O190" s="4"/>
    </row>
    <row r="191" spans="1:49" ht="14.25" x14ac:dyDescent="0.2">
      <c r="B191" s="14" t="s">
        <v>63</v>
      </c>
      <c r="C191" s="13">
        <f>'option 3.1 higher MSW recycling'!C173</f>
        <v>24</v>
      </c>
      <c r="D191" s="14" t="s">
        <v>36</v>
      </c>
      <c r="E191" s="14" t="s">
        <v>34</v>
      </c>
      <c r="G191" s="20" t="s">
        <v>62</v>
      </c>
      <c r="H191" s="1">
        <f>C195/C197*100</f>
        <v>40.438512869399432</v>
      </c>
      <c r="I191" s="21" t="s">
        <v>2</v>
      </c>
    </row>
    <row r="192" spans="1:49" s="4" customFormat="1" ht="14.25" x14ac:dyDescent="0.2">
      <c r="A192"/>
      <c r="B192" s="14" t="s">
        <v>64</v>
      </c>
      <c r="C192" s="13">
        <f>'option 3.1 higher MSW recycling'!C174</f>
        <v>474</v>
      </c>
      <c r="D192" s="14" t="s">
        <v>36</v>
      </c>
      <c r="E192" s="14" t="s">
        <v>34</v>
      </c>
      <c r="F192"/>
      <c r="G192" s="20" t="s">
        <v>63</v>
      </c>
      <c r="H192" s="1">
        <f>C191/C197*100</f>
        <v>0.45757864632983797</v>
      </c>
      <c r="I192" s="21" t="s">
        <v>2</v>
      </c>
      <c r="J192"/>
      <c r="K192"/>
      <c r="L192"/>
      <c r="M192"/>
      <c r="N192"/>
      <c r="O192"/>
      <c r="P192"/>
      <c r="Q192"/>
      <c r="R192" s="1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ht="14.25" x14ac:dyDescent="0.2">
      <c r="B193" s="14" t="s">
        <v>82</v>
      </c>
      <c r="C193" s="13">
        <f>'option 3.1 higher MSW recycling'!C175</f>
        <v>171</v>
      </c>
      <c r="D193" s="14" t="s">
        <v>36</v>
      </c>
      <c r="E193" s="14" t="s">
        <v>34</v>
      </c>
      <c r="G193" s="20" t="s">
        <v>76</v>
      </c>
      <c r="H193" s="1">
        <f>C192/C197*100</f>
        <v>9.0371782650142993</v>
      </c>
      <c r="I193" s="21" t="s">
        <v>2</v>
      </c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1:46" ht="14.25" x14ac:dyDescent="0.2">
      <c r="B194" s="14" t="s">
        <v>65</v>
      </c>
      <c r="C194" s="13">
        <f>'option 3.1 higher MSW recycling'!C176</f>
        <v>2386</v>
      </c>
      <c r="D194" s="14" t="s">
        <v>36</v>
      </c>
      <c r="E194" s="14" t="s">
        <v>34</v>
      </c>
      <c r="G194" s="21" t="s">
        <v>65</v>
      </c>
      <c r="H194" s="1">
        <f>C194/C197*100</f>
        <v>45.490943755958057</v>
      </c>
      <c r="I194" s="21" t="s">
        <v>2</v>
      </c>
      <c r="W194" s="4"/>
      <c r="X194" s="4"/>
    </row>
    <row r="195" spans="1:46" ht="14.25" x14ac:dyDescent="0.2">
      <c r="B195" s="14" t="s">
        <v>94</v>
      </c>
      <c r="C195" s="13">
        <f>'option 3.1 higher MSW recycling'!C177</f>
        <v>2121</v>
      </c>
      <c r="D195" s="14" t="s">
        <v>36</v>
      </c>
      <c r="E195" s="14" t="s">
        <v>34</v>
      </c>
      <c r="G195" s="21" t="s">
        <v>106</v>
      </c>
      <c r="H195" s="1">
        <f>C196/C197*100</f>
        <v>1.3155386081982841</v>
      </c>
      <c r="I195" s="21" t="s">
        <v>2</v>
      </c>
      <c r="U195" s="4"/>
      <c r="V195" s="4"/>
    </row>
    <row r="196" spans="1:46" ht="14.25" x14ac:dyDescent="0.2">
      <c r="B196" s="14" t="s">
        <v>106</v>
      </c>
      <c r="C196" s="13">
        <f>'option 3.1 higher MSW recycling'!C178</f>
        <v>69</v>
      </c>
      <c r="D196" s="14" t="s">
        <v>36</v>
      </c>
      <c r="E196" s="14" t="s">
        <v>34</v>
      </c>
      <c r="G196" s="21" t="s">
        <v>82</v>
      </c>
      <c r="H196" s="1">
        <f>C193/C197*100</f>
        <v>3.2602478551000948</v>
      </c>
      <c r="I196" s="21" t="s">
        <v>2</v>
      </c>
      <c r="P196" s="4"/>
      <c r="Q196" s="4"/>
      <c r="R196" s="16"/>
      <c r="S196" s="4"/>
      <c r="T196" s="4"/>
    </row>
    <row r="197" spans="1:46" ht="14.25" x14ac:dyDescent="0.2">
      <c r="A197" s="4"/>
      <c r="B197" s="22"/>
      <c r="C197" s="15">
        <f>SUM(C191:C196)</f>
        <v>5245</v>
      </c>
      <c r="D197" s="22"/>
      <c r="E197" s="22"/>
      <c r="F197" s="4"/>
      <c r="G197" s="4"/>
      <c r="H197" s="16">
        <f>SUM(H191:H196)</f>
        <v>99.999999999999986</v>
      </c>
      <c r="I197" s="4"/>
      <c r="J197" s="4"/>
      <c r="K197" s="4"/>
      <c r="L197" s="4"/>
      <c r="M197" s="4"/>
      <c r="N197" s="4"/>
      <c r="O197" s="4"/>
    </row>
    <row r="198" spans="1:46" ht="14.25" x14ac:dyDescent="0.2">
      <c r="B198" s="14" t="s">
        <v>63</v>
      </c>
      <c r="C198" s="13">
        <f>'option 3.1 higher MSW recycling'!C180</f>
        <v>923</v>
      </c>
      <c r="D198" s="14" t="s">
        <v>37</v>
      </c>
      <c r="E198" s="14" t="s">
        <v>34</v>
      </c>
      <c r="G198" s="20" t="s">
        <v>62</v>
      </c>
      <c r="H198" s="1">
        <f>C202/C204*100</f>
        <v>61.523569023569024</v>
      </c>
      <c r="I198" s="21" t="s">
        <v>2</v>
      </c>
    </row>
    <row r="199" spans="1:46" s="4" customFormat="1" ht="14.25" x14ac:dyDescent="0.2">
      <c r="A199"/>
      <c r="B199" s="14" t="s">
        <v>64</v>
      </c>
      <c r="C199" s="13">
        <f>'option 3.1 higher MSW recycling'!C181</f>
        <v>523</v>
      </c>
      <c r="D199" s="14" t="s">
        <v>37</v>
      </c>
      <c r="E199" s="14" t="s">
        <v>34</v>
      </c>
      <c r="F199"/>
      <c r="G199" s="20" t="s">
        <v>63</v>
      </c>
      <c r="H199" s="1">
        <f>C198/C204*100</f>
        <v>3.8846801346801345</v>
      </c>
      <c r="I199" s="21" t="s">
        <v>2</v>
      </c>
      <c r="J199"/>
      <c r="K199"/>
      <c r="L199"/>
      <c r="M199"/>
      <c r="N199"/>
      <c r="O199"/>
      <c r="P199"/>
      <c r="Q199"/>
      <c r="R199" s="1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ht="14.25" x14ac:dyDescent="0.2">
      <c r="B200" s="14" t="s">
        <v>82</v>
      </c>
      <c r="C200" s="13">
        <f>'option 3.1 higher MSW recycling'!C182</f>
        <v>2092</v>
      </c>
      <c r="D200" s="14" t="s">
        <v>37</v>
      </c>
      <c r="E200" s="14" t="s">
        <v>34</v>
      </c>
      <c r="G200" s="20" t="s">
        <v>76</v>
      </c>
      <c r="H200" s="1">
        <f>C199/C204*100</f>
        <v>2.2011784511784511</v>
      </c>
      <c r="I200" s="21" t="s">
        <v>2</v>
      </c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1:46" ht="14.25" x14ac:dyDescent="0.2">
      <c r="B201" s="14" t="s">
        <v>65</v>
      </c>
      <c r="C201" s="13">
        <f>'option 3.1 higher MSW recycling'!C183</f>
        <v>5566</v>
      </c>
      <c r="D201" s="14" t="s">
        <v>37</v>
      </c>
      <c r="E201" s="14" t="s">
        <v>34</v>
      </c>
      <c r="G201" s="21" t="s">
        <v>65</v>
      </c>
      <c r="H201" s="1">
        <f>C201/C204*100</f>
        <v>23.425925925925924</v>
      </c>
      <c r="I201" s="21" t="s">
        <v>2</v>
      </c>
      <c r="W201" s="4"/>
      <c r="X201" s="4"/>
    </row>
    <row r="202" spans="1:46" ht="14.25" x14ac:dyDescent="0.2">
      <c r="B202" s="14" t="s">
        <v>94</v>
      </c>
      <c r="C202" s="13">
        <f>'option 3.1 higher MSW recycling'!C184</f>
        <v>14618</v>
      </c>
      <c r="D202" s="14" t="s">
        <v>37</v>
      </c>
      <c r="E202" s="14" t="s">
        <v>34</v>
      </c>
      <c r="G202" s="21" t="s">
        <v>106</v>
      </c>
      <c r="H202" s="1">
        <f>C203/C204*100</f>
        <v>0.15993265993265993</v>
      </c>
      <c r="I202" s="21" t="s">
        <v>2</v>
      </c>
      <c r="U202" s="4"/>
      <c r="V202" s="4"/>
    </row>
    <row r="203" spans="1:46" ht="14.25" x14ac:dyDescent="0.2">
      <c r="B203" s="14" t="s">
        <v>106</v>
      </c>
      <c r="C203" s="13">
        <f>'option 3.1 higher MSW recycling'!C185</f>
        <v>38</v>
      </c>
      <c r="D203" s="14" t="s">
        <v>37</v>
      </c>
      <c r="E203" s="14" t="s">
        <v>34</v>
      </c>
      <c r="G203" s="21" t="s">
        <v>82</v>
      </c>
      <c r="H203" s="1">
        <f>C200/C204*100</f>
        <v>8.8047138047138045</v>
      </c>
      <c r="I203" s="21" t="s">
        <v>2</v>
      </c>
      <c r="P203" s="4"/>
      <c r="Q203" s="4"/>
      <c r="R203" s="16"/>
      <c r="S203" s="4"/>
      <c r="T203" s="4"/>
    </row>
    <row r="204" spans="1:46" ht="14.25" x14ac:dyDescent="0.2">
      <c r="A204" s="4"/>
      <c r="B204" s="22"/>
      <c r="C204" s="15">
        <f>SUM(C198:C203)</f>
        <v>23760</v>
      </c>
      <c r="D204" s="22"/>
      <c r="E204" s="22"/>
      <c r="F204" s="4"/>
      <c r="G204" s="4"/>
      <c r="H204" s="16">
        <f>SUM(H198:H203)</f>
        <v>100</v>
      </c>
      <c r="I204" s="4"/>
      <c r="J204" s="4"/>
      <c r="K204" s="4"/>
      <c r="L204" s="4"/>
      <c r="M204" s="4"/>
      <c r="N204" s="4"/>
      <c r="O204" s="4"/>
    </row>
    <row r="205" spans="1:46" ht="14.25" x14ac:dyDescent="0.2">
      <c r="B205" s="14" t="s">
        <v>63</v>
      </c>
      <c r="C205" s="13">
        <f>'option 3.1 higher MSW recycling'!C187</f>
        <v>171</v>
      </c>
      <c r="D205" s="14" t="s">
        <v>31</v>
      </c>
      <c r="E205" s="14" t="s">
        <v>34</v>
      </c>
      <c r="G205" s="20" t="s">
        <v>62</v>
      </c>
      <c r="H205" s="1">
        <f>C209/C211*100</f>
        <v>66.364394413174892</v>
      </c>
      <c r="I205" s="21" t="s">
        <v>2</v>
      </c>
    </row>
    <row r="206" spans="1:46" ht="14.25" x14ac:dyDescent="0.2">
      <c r="B206" s="14" t="s">
        <v>64</v>
      </c>
      <c r="C206" s="13">
        <f>'option 3.1 higher MSW recycling'!C188</f>
        <v>726</v>
      </c>
      <c r="D206" s="14" t="s">
        <v>31</v>
      </c>
      <c r="E206" s="14" t="s">
        <v>34</v>
      </c>
      <c r="G206" s="20" t="s">
        <v>63</v>
      </c>
      <c r="H206" s="1">
        <f>C205/C211*100</f>
        <v>0.59412132582864297</v>
      </c>
      <c r="I206" s="21" t="s">
        <v>2</v>
      </c>
    </row>
    <row r="207" spans="1:46" ht="14.25" x14ac:dyDescent="0.2">
      <c r="B207" s="14" t="s">
        <v>82</v>
      </c>
      <c r="C207" s="13">
        <f>'option 3.1 higher MSW recycling'!C189</f>
        <v>6380</v>
      </c>
      <c r="D207" s="14" t="s">
        <v>31</v>
      </c>
      <c r="E207" s="14" t="s">
        <v>34</v>
      </c>
      <c r="G207" s="20" t="s">
        <v>76</v>
      </c>
      <c r="H207" s="1">
        <f>C206/C211*100</f>
        <v>2.5224098394830103</v>
      </c>
      <c r="I207" s="21" t="s">
        <v>2</v>
      </c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1:46" ht="14.25" x14ac:dyDescent="0.2">
      <c r="B208" s="14" t="s">
        <v>65</v>
      </c>
      <c r="C208" s="13">
        <f>'option 3.1 higher MSW recycling'!C190</f>
        <v>2092</v>
      </c>
      <c r="D208" s="14" t="s">
        <v>31</v>
      </c>
      <c r="E208" s="14" t="s">
        <v>34</v>
      </c>
      <c r="G208" s="21" t="s">
        <v>65</v>
      </c>
      <c r="H208" s="1">
        <f>C208/C211*100</f>
        <v>7.2684316586755617</v>
      </c>
      <c r="I208" s="21" t="s">
        <v>2</v>
      </c>
      <c r="W208" s="4"/>
      <c r="X208" s="4"/>
    </row>
    <row r="209" spans="1:24" ht="14.25" x14ac:dyDescent="0.2">
      <c r="B209" s="14" t="s">
        <v>94</v>
      </c>
      <c r="C209" s="13">
        <f>'option 3.1 higher MSW recycling'!C191</f>
        <v>19101</v>
      </c>
      <c r="D209" s="14" t="s">
        <v>31</v>
      </c>
      <c r="E209" s="14" t="s">
        <v>34</v>
      </c>
      <c r="G209" s="21" t="s">
        <v>106</v>
      </c>
      <c r="H209" s="1">
        <f>C210/C211*100</f>
        <v>1.084010840108401</v>
      </c>
      <c r="I209" s="21" t="s">
        <v>2</v>
      </c>
      <c r="U209" s="4"/>
      <c r="V209" s="4"/>
    </row>
    <row r="210" spans="1:24" ht="14.25" x14ac:dyDescent="0.2">
      <c r="B210" s="21" t="s">
        <v>106</v>
      </c>
      <c r="C210" s="13">
        <f>'option 3.1 higher MSW recycling'!C192</f>
        <v>312</v>
      </c>
      <c r="D210" s="21" t="s">
        <v>31</v>
      </c>
      <c r="E210" s="21" t="s">
        <v>34</v>
      </c>
      <c r="G210" s="21" t="s">
        <v>82</v>
      </c>
      <c r="H210" s="1">
        <f>C207/C211*100</f>
        <v>22.166631922729486</v>
      </c>
      <c r="I210" s="21" t="s">
        <v>2</v>
      </c>
      <c r="P210" s="4"/>
      <c r="Q210" s="4"/>
      <c r="R210" s="16"/>
      <c r="S210" s="4"/>
      <c r="T210" s="4"/>
    </row>
    <row r="211" spans="1:24" ht="14.25" x14ac:dyDescent="0.2">
      <c r="A211" s="4"/>
      <c r="B211" s="4"/>
      <c r="C211" s="15">
        <f>SUM(C205:C210)</f>
        <v>28782</v>
      </c>
      <c r="D211" s="4"/>
      <c r="E211" s="4"/>
      <c r="F211" s="4"/>
      <c r="G211" s="4"/>
      <c r="H211" s="16">
        <f>SUM(H205:H210)</f>
        <v>100</v>
      </c>
      <c r="I211" s="4"/>
      <c r="J211" s="4"/>
      <c r="K211" s="4"/>
      <c r="L211" s="4"/>
      <c r="M211" s="4"/>
      <c r="N211" s="4"/>
      <c r="O211" s="4"/>
    </row>
    <row r="213" spans="1:24" x14ac:dyDescent="0.2">
      <c r="F213" t="s">
        <v>13</v>
      </c>
      <c r="G213" t="s">
        <v>62</v>
      </c>
      <c r="H213" s="126">
        <f>'option 3.1 higher MSW recycling'!H195</f>
        <v>61.076597781504347</v>
      </c>
      <c r="I213" t="s">
        <v>2</v>
      </c>
    </row>
    <row r="214" spans="1:24" x14ac:dyDescent="0.2">
      <c r="G214" t="s">
        <v>63</v>
      </c>
      <c r="H214" s="127">
        <f>'option 3.1 higher MSW recycling'!H196</f>
        <v>2.9535731425166882</v>
      </c>
      <c r="I214" t="s">
        <v>2</v>
      </c>
    </row>
    <row r="215" spans="1:24" x14ac:dyDescent="0.2">
      <c r="G215" s="37" t="s">
        <v>76</v>
      </c>
      <c r="H215" s="38">
        <f>'option 3.1 higher MSW recycling'!H197</f>
        <v>2.895569760355964</v>
      </c>
      <c r="I215" s="37" t="s">
        <v>2</v>
      </c>
      <c r="W215" s="4"/>
      <c r="X215" s="4"/>
    </row>
    <row r="216" spans="1:24" x14ac:dyDescent="0.2">
      <c r="G216" t="s">
        <v>113</v>
      </c>
      <c r="H216" s="127">
        <f>H215*M142/100</f>
        <v>2.4493394141683797</v>
      </c>
      <c r="I216" t="s">
        <v>2</v>
      </c>
      <c r="U216" s="4"/>
      <c r="V216" s="4"/>
    </row>
    <row r="217" spans="1:24" x14ac:dyDescent="0.2">
      <c r="G217" t="s">
        <v>114</v>
      </c>
      <c r="H217" s="200">
        <f>H215*M143/100</f>
        <v>0.44623034618758411</v>
      </c>
      <c r="I217" t="s">
        <v>2</v>
      </c>
      <c r="P217" s="4"/>
      <c r="Q217" s="4"/>
      <c r="R217" s="16"/>
      <c r="S217" s="4"/>
      <c r="T217" s="4"/>
    </row>
    <row r="218" spans="1:24" x14ac:dyDescent="0.2">
      <c r="G218" t="s">
        <v>65</v>
      </c>
      <c r="H218" s="127">
        <f>'option 3.1 higher MSW recycling'!H198</f>
        <v>20.846115369684046</v>
      </c>
      <c r="I218" t="s">
        <v>2</v>
      </c>
    </row>
    <row r="219" spans="1:24" x14ac:dyDescent="0.2">
      <c r="G219" t="s">
        <v>106</v>
      </c>
      <c r="H219" s="127">
        <f>'option 3.1 higher MSW recycling'!H199</f>
        <v>0.51026444835174956</v>
      </c>
      <c r="I219" t="s">
        <v>2</v>
      </c>
    </row>
    <row r="220" spans="1:24" x14ac:dyDescent="0.2">
      <c r="G220" t="s">
        <v>82</v>
      </c>
      <c r="H220" s="128">
        <f>'option 3.1 higher MSW recycling'!H200</f>
        <v>11.717879497587189</v>
      </c>
      <c r="I220" t="s">
        <v>2</v>
      </c>
    </row>
    <row r="222" spans="1:24" x14ac:dyDescent="0.2">
      <c r="H222" s="1">
        <f>SUM(H213:H220)-H215</f>
        <v>99.999999999999986</v>
      </c>
    </row>
  </sheetData>
  <mergeCells count="8">
    <mergeCell ref="AR5:AS5"/>
    <mergeCell ref="E59:G59"/>
    <mergeCell ref="H59:J59"/>
    <mergeCell ref="K59:M59"/>
    <mergeCell ref="X5:Y5"/>
    <mergeCell ref="G25:G29"/>
    <mergeCell ref="H28:K28"/>
    <mergeCell ref="AH5:A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D87"/>
  </sheetPr>
  <dimension ref="A1:AU319"/>
  <sheetViews>
    <sheetView topLeftCell="AG44" workbookViewId="0">
      <selection activeCell="AV74" sqref="AV74"/>
    </sheetView>
  </sheetViews>
  <sheetFormatPr defaultRowHeight="12.75" x14ac:dyDescent="0.2"/>
  <cols>
    <col min="2" max="2" width="21" customWidth="1"/>
    <col min="3" max="3" width="11.140625" customWidth="1"/>
    <col min="4" max="4" width="24" customWidth="1"/>
    <col min="5" max="5" width="13.28515625" customWidth="1"/>
    <col min="6" max="6" width="14.28515625" customWidth="1"/>
    <col min="7" max="7" width="10.28515625" customWidth="1"/>
    <col min="8" max="8" width="9.140625" style="1"/>
    <col min="11" max="11" width="11.7109375" bestFit="1" customWidth="1"/>
    <col min="17" max="17" width="23.28515625" customWidth="1"/>
    <col min="18" max="18" width="9.140625" style="1"/>
    <col min="19" max="19" width="12.28515625" customWidth="1"/>
    <col min="20" max="20" width="24.28515625" customWidth="1"/>
    <col min="22" max="22" width="14.85546875" bestFit="1" customWidth="1"/>
    <col min="23" max="23" width="9.5703125" bestFit="1" customWidth="1"/>
    <col min="24" max="24" width="11.7109375" bestFit="1" customWidth="1"/>
    <col min="25" max="25" width="9.5703125" bestFit="1" customWidth="1"/>
    <col min="27" max="27" width="2.7109375" bestFit="1" customWidth="1"/>
    <col min="29" max="29" width="14.85546875" bestFit="1" customWidth="1"/>
    <col min="30" max="30" width="18.42578125" customWidth="1"/>
    <col min="32" max="32" width="14.85546875" bestFit="1" customWidth="1"/>
    <col min="33" max="33" width="14.7109375" bestFit="1" customWidth="1"/>
    <col min="34" max="34" width="11.7109375" bestFit="1" customWidth="1"/>
    <col min="37" max="37" width="2.7109375" bestFit="1" customWidth="1"/>
    <col min="39" max="39" width="14.85546875" bestFit="1" customWidth="1"/>
    <col min="40" max="40" width="19.85546875" customWidth="1"/>
    <col min="42" max="42" width="14.85546875" bestFit="1" customWidth="1"/>
    <col min="43" max="43" width="14.7109375" bestFit="1" customWidth="1"/>
    <col min="44" max="44" width="11.7109375" bestFit="1" customWidth="1"/>
    <col min="47" max="47" width="2.7109375" bestFit="1" customWidth="1"/>
  </cols>
  <sheetData>
    <row r="1" spans="2:47" x14ac:dyDescent="0.2">
      <c r="R1"/>
      <c r="U1" s="1"/>
    </row>
    <row r="2" spans="2:47" x14ac:dyDescent="0.2">
      <c r="E2" s="53"/>
      <c r="F2" s="53"/>
      <c r="R2"/>
      <c r="U2" s="1"/>
    </row>
    <row r="3" spans="2:47" ht="20.25" x14ac:dyDescent="0.3">
      <c r="B3" s="23" t="s">
        <v>102</v>
      </c>
      <c r="C3" s="23"/>
      <c r="D3" s="23"/>
      <c r="L3" s="24" t="s">
        <v>103</v>
      </c>
      <c r="R3"/>
      <c r="S3" s="23" t="s">
        <v>15</v>
      </c>
      <c r="U3" s="1"/>
    </row>
    <row r="4" spans="2:47" x14ac:dyDescent="0.2">
      <c r="R4"/>
      <c r="U4" s="1"/>
    </row>
    <row r="5" spans="2:47" x14ac:dyDescent="0.2">
      <c r="R5"/>
      <c r="S5" s="25">
        <v>2020</v>
      </c>
      <c r="T5" s="25"/>
      <c r="U5" s="26"/>
      <c r="V5" s="25"/>
      <c r="W5" s="25"/>
      <c r="X5" s="25"/>
      <c r="Y5" s="306" t="s">
        <v>95</v>
      </c>
      <c r="Z5" s="306"/>
      <c r="AA5" s="25"/>
      <c r="AC5" s="25">
        <v>2025</v>
      </c>
      <c r="AD5" s="25"/>
      <c r="AE5" s="26"/>
      <c r="AF5" s="25"/>
      <c r="AG5" s="25"/>
      <c r="AH5" s="25"/>
      <c r="AI5" s="306" t="s">
        <v>95</v>
      </c>
      <c r="AJ5" s="306"/>
      <c r="AK5" s="25"/>
      <c r="AM5" s="25">
        <v>2030</v>
      </c>
      <c r="AN5" s="25"/>
      <c r="AO5" s="26"/>
      <c r="AP5" s="25"/>
      <c r="AQ5" s="25"/>
      <c r="AR5" s="25"/>
      <c r="AS5" s="306" t="s">
        <v>95</v>
      </c>
      <c r="AT5" s="306"/>
      <c r="AU5" s="25"/>
    </row>
    <row r="6" spans="2:47" x14ac:dyDescent="0.2">
      <c r="B6" s="84" t="s">
        <v>0</v>
      </c>
      <c r="C6" s="1"/>
      <c r="E6" s="54"/>
      <c r="J6" s="2"/>
      <c r="R6"/>
      <c r="S6" s="25"/>
      <c r="T6" s="25"/>
      <c r="U6" s="26"/>
      <c r="V6" s="25"/>
      <c r="W6" s="25"/>
      <c r="X6" s="25"/>
      <c r="Y6" s="26"/>
      <c r="Z6" s="25"/>
      <c r="AA6" s="25"/>
      <c r="AC6" s="25"/>
      <c r="AD6" s="25"/>
      <c r="AE6" s="26"/>
      <c r="AF6" s="25"/>
      <c r="AG6" s="25"/>
      <c r="AH6" s="25"/>
      <c r="AI6" s="26"/>
      <c r="AJ6" s="25"/>
      <c r="AK6" s="25"/>
      <c r="AM6" s="25"/>
      <c r="AN6" s="25"/>
      <c r="AO6" s="26"/>
      <c r="AP6" s="25"/>
      <c r="AQ6" s="25"/>
      <c r="AR6" s="25"/>
      <c r="AS6" s="26"/>
      <c r="AT6" s="25"/>
      <c r="AU6" s="25"/>
    </row>
    <row r="7" spans="2:47" x14ac:dyDescent="0.2">
      <c r="B7" t="str">
        <f>'option 3.2 modernised pack targ'!B7</f>
        <v>as in BAU</v>
      </c>
      <c r="R7"/>
      <c r="S7" s="25"/>
      <c r="T7" s="27" t="s">
        <v>16</v>
      </c>
      <c r="U7" s="26">
        <v>100</v>
      </c>
      <c r="V7" s="25"/>
      <c r="W7" s="25"/>
      <c r="X7" s="25"/>
      <c r="Y7" s="25"/>
      <c r="Z7" s="25"/>
      <c r="AA7" s="25"/>
      <c r="AC7" s="25"/>
      <c r="AD7" s="27" t="s">
        <v>16</v>
      </c>
      <c r="AE7" s="26">
        <v>100</v>
      </c>
      <c r="AF7" s="25"/>
      <c r="AG7" s="25"/>
      <c r="AH7" s="25"/>
      <c r="AI7" s="25"/>
      <c r="AJ7" s="25"/>
      <c r="AK7" s="25"/>
      <c r="AM7" s="25"/>
      <c r="AN7" s="27" t="s">
        <v>16</v>
      </c>
      <c r="AO7" s="26">
        <v>100</v>
      </c>
      <c r="AP7" s="25"/>
      <c r="AQ7" s="25"/>
      <c r="AR7" s="25"/>
      <c r="AS7" s="25"/>
      <c r="AT7" s="25"/>
      <c r="AU7" s="25"/>
    </row>
    <row r="8" spans="2:47" x14ac:dyDescent="0.2">
      <c r="B8" t="str">
        <f>'option 3.2 modernised pack targ'!B8</f>
        <v>increase 2015-2020</v>
      </c>
      <c r="C8" s="2">
        <f>'option 3.2 modernised pack targ'!C8</f>
        <v>2.8975042901448815</v>
      </c>
      <c r="D8" t="s">
        <v>2</v>
      </c>
      <c r="H8"/>
      <c r="R8"/>
      <c r="S8" s="27"/>
      <c r="T8" s="27" t="s">
        <v>17</v>
      </c>
      <c r="U8" s="28">
        <f>U7*C25</f>
        <v>78.366280390281759</v>
      </c>
      <c r="V8" s="25"/>
      <c r="W8" s="25"/>
      <c r="X8" s="25"/>
      <c r="Y8" s="25"/>
      <c r="Z8" s="25"/>
      <c r="AA8" s="25"/>
      <c r="AC8" s="27"/>
      <c r="AD8" s="27" t="s">
        <v>17</v>
      </c>
      <c r="AE8" s="28">
        <f>AE7*C25</f>
        <v>78.366280390281759</v>
      </c>
      <c r="AF8" s="25"/>
      <c r="AG8" s="25"/>
      <c r="AH8" s="25"/>
      <c r="AI8" s="25"/>
      <c r="AJ8" s="25"/>
      <c r="AK8" s="25"/>
      <c r="AM8" s="27"/>
      <c r="AN8" s="27" t="s">
        <v>17</v>
      </c>
      <c r="AO8" s="28">
        <f>AO7*C25</f>
        <v>78.366280390281759</v>
      </c>
      <c r="AP8" s="25"/>
      <c r="AQ8" s="25"/>
      <c r="AR8" s="25"/>
      <c r="AS8" s="25"/>
      <c r="AT8" s="25"/>
      <c r="AU8" s="25"/>
    </row>
    <row r="9" spans="2:47" x14ac:dyDescent="0.2">
      <c r="B9" t="str">
        <f>'option 3.2 modernised pack targ'!B9</f>
        <v>increase 2015-2025</v>
      </c>
      <c r="C9" s="2">
        <f>'option 3.2 modernised pack targ'!C9</f>
        <v>5.1828712412524975</v>
      </c>
      <c r="D9" t="s">
        <v>2</v>
      </c>
      <c r="E9" s="1"/>
      <c r="F9" s="1"/>
      <c r="G9" s="1"/>
      <c r="I9" s="1"/>
      <c r="J9" s="1"/>
      <c r="K9" s="1"/>
      <c r="R9"/>
      <c r="S9" s="27"/>
      <c r="T9" s="27" t="s">
        <v>19</v>
      </c>
      <c r="U9" s="28">
        <f>U7*C26</f>
        <v>21.633719609718238</v>
      </c>
      <c r="V9" s="25"/>
      <c r="W9" s="25"/>
      <c r="X9" s="25"/>
      <c r="Y9" s="26"/>
      <c r="Z9" s="25"/>
      <c r="AA9" s="25"/>
      <c r="AC9" s="27"/>
      <c r="AD9" s="27" t="s">
        <v>19</v>
      </c>
      <c r="AE9" s="28">
        <f>AE7*C26</f>
        <v>21.633719609718238</v>
      </c>
      <c r="AF9" s="25"/>
      <c r="AG9" s="25"/>
      <c r="AH9" s="25"/>
      <c r="AI9" s="26"/>
      <c r="AJ9" s="25"/>
      <c r="AK9" s="25"/>
      <c r="AM9" s="27"/>
      <c r="AN9" s="27" t="s">
        <v>19</v>
      </c>
      <c r="AO9" s="28">
        <f>AO7*C26</f>
        <v>21.633719609718238</v>
      </c>
      <c r="AP9" s="25"/>
      <c r="AQ9" s="25"/>
      <c r="AR9" s="25"/>
      <c r="AS9" s="26"/>
      <c r="AT9" s="25"/>
      <c r="AU9" s="25"/>
    </row>
    <row r="10" spans="2:47" x14ac:dyDescent="0.2">
      <c r="B10" t="str">
        <f>'option 3.2 modernised pack targ'!B10</f>
        <v>increase 2015-2030</v>
      </c>
      <c r="C10" s="2">
        <f>'option 3.2 modernised pack targ'!C10</f>
        <v>6.7064492086575767</v>
      </c>
      <c r="D10" t="s">
        <v>2</v>
      </c>
      <c r="R10"/>
      <c r="S10" s="25"/>
      <c r="T10" s="25"/>
      <c r="U10" s="26"/>
      <c r="V10" s="25"/>
      <c r="W10" s="25"/>
      <c r="X10" s="25"/>
      <c r="Y10" s="26"/>
      <c r="Z10" s="25"/>
      <c r="AA10" s="25"/>
      <c r="AC10" s="25"/>
      <c r="AD10" s="25"/>
      <c r="AE10" s="26"/>
      <c r="AF10" s="25"/>
      <c r="AG10" s="25"/>
      <c r="AH10" s="25"/>
      <c r="AI10" s="26"/>
      <c r="AJ10" s="25"/>
      <c r="AK10" s="25"/>
      <c r="AM10" s="25"/>
      <c r="AN10" s="25"/>
      <c r="AO10" s="26"/>
      <c r="AP10" s="25"/>
      <c r="AQ10" s="25"/>
      <c r="AR10" s="25"/>
      <c r="AS10" s="26"/>
      <c r="AT10" s="25"/>
      <c r="AU10" s="25"/>
    </row>
    <row r="11" spans="2:47" x14ac:dyDescent="0.2">
      <c r="R11"/>
      <c r="S11" s="25"/>
      <c r="T11" s="27" t="s">
        <v>18</v>
      </c>
      <c r="U11" s="28">
        <f>U8+U8*C8/100</f>
        <v>80.63694672661714</v>
      </c>
      <c r="V11" s="27"/>
      <c r="W11" s="26"/>
      <c r="X11" s="25"/>
      <c r="Y11" s="25"/>
      <c r="Z11" s="25"/>
      <c r="AA11" s="25"/>
      <c r="AC11" s="25"/>
      <c r="AD11" s="27" t="s">
        <v>171</v>
      </c>
      <c r="AE11" s="28">
        <f>AE8+AE8*C9/100</f>
        <v>82.427903799468965</v>
      </c>
      <c r="AF11" s="27"/>
      <c r="AG11" s="26"/>
      <c r="AH11" s="25"/>
      <c r="AI11" s="25"/>
      <c r="AJ11" s="25"/>
      <c r="AK11" s="25"/>
      <c r="AM11" s="25"/>
      <c r="AN11" s="27" t="s">
        <v>146</v>
      </c>
      <c r="AO11" s="28">
        <f>AO8+AO8*C10/100</f>
        <v>83.621875181370186</v>
      </c>
      <c r="AP11" s="27"/>
      <c r="AQ11" s="26"/>
      <c r="AR11" s="25"/>
      <c r="AS11" s="25"/>
      <c r="AT11" s="25"/>
      <c r="AU11" s="25"/>
    </row>
    <row r="12" spans="2:47" x14ac:dyDescent="0.2">
      <c r="H12" s="2"/>
      <c r="R12"/>
      <c r="S12" s="25"/>
      <c r="T12" s="27" t="s">
        <v>20</v>
      </c>
      <c r="U12" s="28">
        <f>U9+U9*C16/100</f>
        <v>23.761096188566889</v>
      </c>
      <c r="V12" s="27"/>
      <c r="W12" s="26"/>
      <c r="X12" s="25"/>
      <c r="Y12" s="25"/>
      <c r="Z12" s="25"/>
      <c r="AA12" s="25"/>
      <c r="AC12" s="25"/>
      <c r="AD12" s="27" t="s">
        <v>172</v>
      </c>
      <c r="AE12" s="28">
        <f>AE9+AE9*C17/100</f>
        <v>26.097670778200566</v>
      </c>
      <c r="AF12" s="27"/>
      <c r="AG12" s="26"/>
      <c r="AH12" s="25"/>
      <c r="AI12" s="25"/>
      <c r="AJ12" s="25"/>
      <c r="AK12" s="25"/>
      <c r="AM12" s="25"/>
      <c r="AN12" s="27" t="s">
        <v>147</v>
      </c>
      <c r="AO12" s="28">
        <f>AO9+AO9*C18/100</f>
        <v>28.664015104448865</v>
      </c>
      <c r="AP12" s="27"/>
      <c r="AQ12" s="26"/>
      <c r="AR12" s="25"/>
      <c r="AS12" s="25"/>
      <c r="AT12" s="25"/>
      <c r="AU12" s="25"/>
    </row>
    <row r="13" spans="2:47" x14ac:dyDescent="0.2">
      <c r="R13"/>
      <c r="S13" s="25"/>
      <c r="T13" s="27" t="s">
        <v>98</v>
      </c>
      <c r="U13" s="28">
        <f>SUM(U11:U12)</f>
        <v>104.39804291518402</v>
      </c>
      <c r="V13" s="27"/>
      <c r="W13" s="26"/>
      <c r="X13" s="25"/>
      <c r="Y13" s="26"/>
      <c r="Z13" s="25"/>
      <c r="AA13" s="25"/>
      <c r="AC13" s="25"/>
      <c r="AD13" s="27" t="s">
        <v>173</v>
      </c>
      <c r="AE13" s="28">
        <f>SUM(AE11:AE12)</f>
        <v>108.52557457766953</v>
      </c>
      <c r="AF13" s="27"/>
      <c r="AG13" s="26"/>
      <c r="AH13" s="25"/>
      <c r="AI13" s="26"/>
      <c r="AJ13" s="25"/>
      <c r="AK13" s="25"/>
      <c r="AM13" s="25"/>
      <c r="AN13" s="27" t="s">
        <v>150</v>
      </c>
      <c r="AO13" s="28">
        <f>SUM(AO11:AO12)</f>
        <v>112.28589028581905</v>
      </c>
      <c r="AP13" s="27"/>
      <c r="AQ13" s="26"/>
      <c r="AR13" s="25"/>
      <c r="AS13" s="26"/>
      <c r="AT13" s="25"/>
      <c r="AU13" s="25"/>
    </row>
    <row r="14" spans="2:47" x14ac:dyDescent="0.2">
      <c r="B14" s="84" t="s">
        <v>5</v>
      </c>
      <c r="C14" s="53"/>
      <c r="R14"/>
      <c r="S14" s="25"/>
      <c r="T14" s="27"/>
      <c r="U14" s="26"/>
      <c r="V14" s="27"/>
      <c r="W14" s="25"/>
      <c r="X14" s="25"/>
      <c r="Y14" s="25"/>
      <c r="Z14" s="25"/>
      <c r="AA14" s="25"/>
      <c r="AC14" s="25"/>
      <c r="AD14" s="27"/>
      <c r="AE14" s="26"/>
      <c r="AF14" s="27"/>
      <c r="AG14" s="25"/>
      <c r="AH14" s="25"/>
      <c r="AI14" s="25"/>
      <c r="AJ14" s="25"/>
      <c r="AK14" s="25"/>
      <c r="AM14" s="25"/>
      <c r="AN14" s="27"/>
      <c r="AO14" s="26"/>
      <c r="AP14" s="27"/>
      <c r="AQ14" s="25"/>
      <c r="AR14" s="25"/>
      <c r="AS14" s="25"/>
      <c r="AT14" s="25"/>
      <c r="AU14" s="25"/>
    </row>
    <row r="15" spans="2:47" x14ac:dyDescent="0.2">
      <c r="B15" t="str">
        <f>'option 3.2 modernised pack targ'!B15</f>
        <v>as in BAU</v>
      </c>
      <c r="R15"/>
      <c r="S15" s="25"/>
      <c r="T15" s="27" t="s">
        <v>48</v>
      </c>
      <c r="U15" s="28">
        <f>U11*I74/100</f>
        <v>49.018983027633332</v>
      </c>
      <c r="V15" s="27"/>
      <c r="W15" s="25"/>
      <c r="X15" s="25"/>
      <c r="Y15" s="25"/>
      <c r="Z15" s="25"/>
      <c r="AA15" s="25"/>
      <c r="AC15" s="25"/>
      <c r="AD15" s="27" t="s">
        <v>48</v>
      </c>
      <c r="AE15" s="28">
        <f>AE11*I74/100</f>
        <v>50.107701015120881</v>
      </c>
      <c r="AF15" s="27"/>
      <c r="AG15" s="25"/>
      <c r="AH15" s="25"/>
      <c r="AI15" s="25"/>
      <c r="AJ15" s="25"/>
      <c r="AK15" s="25"/>
      <c r="AM15" s="25"/>
      <c r="AN15" s="27" t="s">
        <v>48</v>
      </c>
      <c r="AO15" s="28">
        <f>AO11*I74/100</f>
        <v>50.833513006779249</v>
      </c>
      <c r="AP15" s="27"/>
      <c r="AQ15" s="25"/>
      <c r="AR15" s="25"/>
      <c r="AS15" s="25"/>
      <c r="AT15" s="25"/>
      <c r="AU15" s="25"/>
    </row>
    <row r="16" spans="2:47" x14ac:dyDescent="0.2">
      <c r="B16" t="str">
        <f>'option 3.2 modernised pack targ'!B16</f>
        <v>increase 2015-2020</v>
      </c>
      <c r="C16" s="2">
        <f>'option 3.2 modernised pack targ'!C16</f>
        <v>9.8336144557082932</v>
      </c>
      <c r="D16" t="str">
        <f>'option 3.2 modernised pack targ'!D16</f>
        <v>%</v>
      </c>
      <c r="R16"/>
      <c r="S16" s="25"/>
      <c r="T16" s="27" t="s">
        <v>46</v>
      </c>
      <c r="U16" s="28">
        <f>U12*I75/100</f>
        <v>1.7516626527831847</v>
      </c>
      <c r="V16" s="27"/>
      <c r="W16" s="25"/>
      <c r="X16" s="25"/>
      <c r="Y16" s="25"/>
      <c r="Z16" s="25"/>
      <c r="AA16" s="25"/>
      <c r="AC16" s="25"/>
      <c r="AD16" s="27" t="s">
        <v>46</v>
      </c>
      <c r="AE16" s="28">
        <f>AE12*I75/100</f>
        <v>1.9239144046225161</v>
      </c>
      <c r="AF16" s="27"/>
      <c r="AG16" s="25"/>
      <c r="AH16" s="25"/>
      <c r="AI16" s="25"/>
      <c r="AJ16" s="25"/>
      <c r="AK16" s="25"/>
      <c r="AM16" s="25"/>
      <c r="AN16" s="27" t="s">
        <v>46</v>
      </c>
      <c r="AO16" s="28">
        <f>AO12*I75/100</f>
        <v>2.1131047296309307</v>
      </c>
      <c r="AP16" s="27"/>
      <c r="AQ16" s="25"/>
      <c r="AR16" s="25"/>
      <c r="AS16" s="25"/>
      <c r="AT16" s="25"/>
      <c r="AU16" s="25"/>
    </row>
    <row r="17" spans="2:47" x14ac:dyDescent="0.2">
      <c r="B17" t="str">
        <f>'option 3.2 modernised pack targ'!B17</f>
        <v>increase 2015-2025</v>
      </c>
      <c r="C17" s="2">
        <f>'option 3.2 modernised pack targ'!C17</f>
        <v>20.634228644051781</v>
      </c>
      <c r="D17" t="str">
        <f>'option 3.2 modernised pack targ'!D17</f>
        <v>%</v>
      </c>
      <c r="R17"/>
      <c r="S17" s="25"/>
      <c r="T17" s="27"/>
      <c r="U17" s="26"/>
      <c r="V17" s="27"/>
      <c r="W17" s="25"/>
      <c r="X17" s="25"/>
      <c r="Y17" s="25" t="s">
        <v>100</v>
      </c>
      <c r="Z17" s="25" t="s">
        <v>101</v>
      </c>
      <c r="AA17" s="25"/>
      <c r="AC17" s="25"/>
      <c r="AD17" s="27"/>
      <c r="AE17" s="26"/>
      <c r="AF17" s="27"/>
      <c r="AG17" s="25"/>
      <c r="AH17" s="25"/>
      <c r="AI17" s="25" t="s">
        <v>100</v>
      </c>
      <c r="AJ17" s="25" t="s">
        <v>101</v>
      </c>
      <c r="AK17" s="25"/>
      <c r="AM17" s="25"/>
      <c r="AN17" s="27"/>
      <c r="AO17" s="26"/>
      <c r="AP17" s="27"/>
      <c r="AQ17" s="25"/>
      <c r="AR17" s="25"/>
      <c r="AS17" s="25" t="s">
        <v>100</v>
      </c>
      <c r="AT17" s="25" t="s">
        <v>101</v>
      </c>
      <c r="AU17" s="25"/>
    </row>
    <row r="18" spans="2:47" x14ac:dyDescent="0.2">
      <c r="B18" t="str">
        <f>'option 3.2 modernised pack targ'!B18</f>
        <v>increase 2015-2030</v>
      </c>
      <c r="C18" s="2">
        <f>'option 3.2 modernised pack targ'!C18</f>
        <v>32.496933590525494</v>
      </c>
      <c r="D18" t="str">
        <f>'option 3.2 modernised pack targ'!D18</f>
        <v>%</v>
      </c>
      <c r="H18"/>
      <c r="R18"/>
      <c r="S18" s="25"/>
      <c r="T18" s="27" t="s">
        <v>25</v>
      </c>
      <c r="U18" s="28">
        <f>$U$11*H205/100</f>
        <v>49.250303615501892</v>
      </c>
      <c r="V18" s="27" t="s">
        <v>84</v>
      </c>
      <c r="W18" s="28">
        <f>G52</f>
        <v>3.3683912778993195</v>
      </c>
      <c r="X18" s="25" t="s">
        <v>2</v>
      </c>
      <c r="Y18" s="28">
        <f>U18-U18*W18/100</f>
        <v>47.59136068417839</v>
      </c>
      <c r="Z18" s="28">
        <f>IF(Y18&lt;(Y26+Y34),Y18,(Y26+Y34))</f>
        <v>47.59136068417839</v>
      </c>
      <c r="AA18" s="25"/>
      <c r="AB18" s="58"/>
      <c r="AC18" s="25"/>
      <c r="AD18" s="27" t="s">
        <v>25</v>
      </c>
      <c r="AE18" s="28">
        <f>$AE$11*H205/100</f>
        <v>50.344159263327001</v>
      </c>
      <c r="AF18" s="27" t="s">
        <v>84</v>
      </c>
      <c r="AG18" s="28">
        <f>G52</f>
        <v>3.3683912778993195</v>
      </c>
      <c r="AH18" s="25" t="s">
        <v>2</v>
      </c>
      <c r="AI18" s="28">
        <f>AE18-AE18*AG18/100</f>
        <v>48.648370993769355</v>
      </c>
      <c r="AJ18" s="28">
        <f>IF(AI18&lt;(AI26+AI34),AI18,(AI26+AI34))</f>
        <v>48.648370993769355</v>
      </c>
      <c r="AK18" s="25"/>
      <c r="AM18" s="25"/>
      <c r="AN18" s="27" t="s">
        <v>25</v>
      </c>
      <c r="AO18" s="28">
        <f>$AO$11*H205/100</f>
        <v>51.073396361877073</v>
      </c>
      <c r="AP18" s="27" t="s">
        <v>84</v>
      </c>
      <c r="AQ18" s="28">
        <f>G52</f>
        <v>3.3683912778993195</v>
      </c>
      <c r="AR18" s="25" t="s">
        <v>2</v>
      </c>
      <c r="AS18" s="28">
        <f>AO18-AO18*AQ18/100</f>
        <v>49.353044533496657</v>
      </c>
      <c r="AT18" s="28">
        <f>IF(AS18&lt;(AS26+AS34),AS18,(AS26+AS34))</f>
        <v>49.353044533496657</v>
      </c>
      <c r="AU18" s="25"/>
    </row>
    <row r="19" spans="2:47" x14ac:dyDescent="0.2">
      <c r="C19" s="2"/>
      <c r="D19" s="2"/>
      <c r="E19" s="2"/>
      <c r="F19" s="2"/>
      <c r="G19" s="2"/>
      <c r="H19" s="2"/>
      <c r="I19" s="2"/>
      <c r="J19" s="2"/>
      <c r="K19" s="2"/>
      <c r="R19"/>
      <c r="S19" s="25"/>
      <c r="T19" s="27" t="s">
        <v>26</v>
      </c>
      <c r="U19" s="28">
        <f>$U$11*H206/100</f>
        <v>2.3816712014628534</v>
      </c>
      <c r="V19" s="27" t="s">
        <v>84</v>
      </c>
      <c r="W19" s="28">
        <f>G53</f>
        <v>49.031717839567399</v>
      </c>
      <c r="X19" s="25" t="s">
        <v>2</v>
      </c>
      <c r="Y19" s="28">
        <f t="shared" ref="Y19:Y24" si="0">U19-U19*W19/100</f>
        <v>1.2138968980953522</v>
      </c>
      <c r="Z19" s="28">
        <f>IF(Y19&lt;(Y27+Y35),Y19,(Y27+Y35))</f>
        <v>1.2138968980953522</v>
      </c>
      <c r="AA19" s="25"/>
      <c r="AB19" s="58"/>
      <c r="AC19" s="25"/>
      <c r="AD19" s="27" t="s">
        <v>26</v>
      </c>
      <c r="AE19" s="28">
        <f t="shared" ref="AE19" si="1">$AE$11*H206/100</f>
        <v>2.434568428560608</v>
      </c>
      <c r="AF19" s="27" t="s">
        <v>84</v>
      </c>
      <c r="AG19" s="28">
        <f t="shared" ref="AG19" si="2">G53</f>
        <v>49.031717839567399</v>
      </c>
      <c r="AH19" s="25" t="s">
        <v>2</v>
      </c>
      <c r="AI19" s="28">
        <f t="shared" ref="AI19:AI22" si="3">AE19-AE19*AG19/100</f>
        <v>1.2408577060575807</v>
      </c>
      <c r="AJ19" s="28">
        <f>IF(AI19&lt;(AI27+AI35),AI19,(AI27+AI35))</f>
        <v>1.2408577060575807</v>
      </c>
      <c r="AK19" s="25"/>
      <c r="AM19" s="25"/>
      <c r="AN19" s="27" t="s">
        <v>26</v>
      </c>
      <c r="AO19" s="28">
        <f t="shared" ref="AO19" si="4">$AO$11*H206/100</f>
        <v>2.469833246625778</v>
      </c>
      <c r="AP19" s="27" t="s">
        <v>84</v>
      </c>
      <c r="AQ19" s="28">
        <f t="shared" ref="AQ19" si="5">G53</f>
        <v>49.031717839567399</v>
      </c>
      <c r="AR19" s="25" t="s">
        <v>2</v>
      </c>
      <c r="AS19" s="28">
        <f t="shared" ref="AS19:AS22" si="6">AO19-AO19*AQ19/100</f>
        <v>1.2588315780323998</v>
      </c>
      <c r="AT19" s="28">
        <f>IF(AS19&lt;(AS27+AS35),AS19,(AS27+AS35))</f>
        <v>1.2588315780323998</v>
      </c>
      <c r="AU19" s="25"/>
    </row>
    <row r="20" spans="2:47" x14ac:dyDescent="0.2">
      <c r="R20"/>
      <c r="S20" s="25"/>
      <c r="T20" s="27" t="s">
        <v>119</v>
      </c>
      <c r="U20" s="28">
        <f>$U$11*H208/100</f>
        <v>1.9750725185569928</v>
      </c>
      <c r="V20" s="27" t="s">
        <v>84</v>
      </c>
      <c r="W20" s="28">
        <f>G55</f>
        <v>15.181891207263545</v>
      </c>
      <c r="X20" s="25" t="s">
        <v>2</v>
      </c>
      <c r="Y20" s="28">
        <f t="shared" si="0"/>
        <v>1.6752191575251101</v>
      </c>
      <c r="Z20" s="28">
        <f>IF(Y20&lt;(Y28+Y36),Y20,(Y28+Y36))</f>
        <v>1.6752191575251101</v>
      </c>
      <c r="AA20" s="25"/>
      <c r="AB20" s="58"/>
      <c r="AC20" s="25"/>
      <c r="AD20" s="27" t="s">
        <v>119</v>
      </c>
      <c r="AE20" s="28">
        <f>$AE$11*H208/100</f>
        <v>2.0189391360331888</v>
      </c>
      <c r="AF20" s="27" t="s">
        <v>84</v>
      </c>
      <c r="AG20" s="28">
        <f>G55</f>
        <v>15.181891207263545</v>
      </c>
      <c r="AH20" s="25" t="s">
        <v>2</v>
      </c>
      <c r="AI20" s="28">
        <f t="shared" si="3"/>
        <v>1.7124259928597634</v>
      </c>
      <c r="AJ20" s="28">
        <f>IF(AI20&lt;(AI28+AI36),AI20,(AI28+AI36))</f>
        <v>1.7124259928597634</v>
      </c>
      <c r="AK20" s="25"/>
      <c r="AM20" s="25"/>
      <c r="AN20" s="27" t="s">
        <v>119</v>
      </c>
      <c r="AO20" s="28">
        <f>$AO$11*H208/100</f>
        <v>2.048183547683986</v>
      </c>
      <c r="AP20" s="27" t="s">
        <v>84</v>
      </c>
      <c r="AQ20" s="28">
        <f>G55</f>
        <v>15.181891207263545</v>
      </c>
      <c r="AR20" s="25" t="s">
        <v>2</v>
      </c>
      <c r="AS20" s="28">
        <f t="shared" si="6"/>
        <v>1.7372305497495324</v>
      </c>
      <c r="AT20" s="28">
        <f>IF(AS20&lt;(AS28+AS36),AS20,(AS28+AS36))</f>
        <v>1.7372305497495324</v>
      </c>
      <c r="AU20" s="25"/>
    </row>
    <row r="21" spans="2:47" x14ac:dyDescent="0.2">
      <c r="R21"/>
      <c r="S21" s="25"/>
      <c r="T21" s="27" t="s">
        <v>120</v>
      </c>
      <c r="U21" s="28">
        <f>$U$11*H209/100</f>
        <v>0.35982652653328145</v>
      </c>
      <c r="V21" s="27" t="s">
        <v>84</v>
      </c>
      <c r="W21" s="28">
        <f>G56</f>
        <v>9.5111489656680757</v>
      </c>
      <c r="X21" s="25" t="s">
        <v>2</v>
      </c>
      <c r="Y21" s="28">
        <f t="shared" si="0"/>
        <v>0.32560288957671191</v>
      </c>
      <c r="Z21" s="28">
        <f t="shared" ref="Z21" si="7">IF(Y21&lt;(Y29+Y37),Y21,(Y29+Y37))</f>
        <v>0.32560288957671191</v>
      </c>
      <c r="AA21" s="25"/>
      <c r="AB21" s="58"/>
      <c r="AC21" s="25"/>
      <c r="AD21" s="27" t="s">
        <v>120</v>
      </c>
      <c r="AE21" s="28">
        <f t="shared" ref="AE21:AE24" si="8">$AE$11*H209/100</f>
        <v>0.36781832047953911</v>
      </c>
      <c r="AF21" s="27" t="s">
        <v>84</v>
      </c>
      <c r="AG21" s="28">
        <f t="shared" ref="AG21:AG24" si="9">G56</f>
        <v>9.5111489656680757</v>
      </c>
      <c r="AH21" s="25" t="s">
        <v>2</v>
      </c>
      <c r="AI21" s="28">
        <f t="shared" si="3"/>
        <v>0.33283457209571177</v>
      </c>
      <c r="AJ21" s="28">
        <f t="shared" ref="AJ21" si="10">IF(AI21&lt;(AI29+AI37),AI21,(AI29+AI37))</f>
        <v>0.33283457209571177</v>
      </c>
      <c r="AK21" s="25"/>
      <c r="AM21" s="25"/>
      <c r="AN21" s="27" t="s">
        <v>120</v>
      </c>
      <c r="AO21" s="28">
        <f t="shared" ref="AO21:AO24" si="11">$AO$11*H209/100</f>
        <v>0.37314618311037767</v>
      </c>
      <c r="AP21" s="27" t="s">
        <v>84</v>
      </c>
      <c r="AQ21" s="28">
        <f t="shared" ref="AQ21:AQ24" si="12">G56</f>
        <v>9.5111489656680757</v>
      </c>
      <c r="AR21" s="25" t="s">
        <v>2</v>
      </c>
      <c r="AS21" s="28">
        <f t="shared" si="6"/>
        <v>0.33765569377504506</v>
      </c>
      <c r="AT21" s="28">
        <f t="shared" ref="AT21" si="13">IF(AS21&lt;(AS29+AS37),AS21,(AS29+AS37))</f>
        <v>0.33765569377504506</v>
      </c>
      <c r="AU21" s="25"/>
    </row>
    <row r="22" spans="2:47" x14ac:dyDescent="0.2">
      <c r="H22" s="2"/>
      <c r="R22"/>
      <c r="S22" s="25"/>
      <c r="T22" s="27" t="s">
        <v>28</v>
      </c>
      <c r="U22" s="28">
        <f>$U$11*H210/100</f>
        <v>16.809670945221271</v>
      </c>
      <c r="V22" s="27" t="s">
        <v>84</v>
      </c>
      <c r="W22" s="28">
        <f>G57</f>
        <v>29.825112357029958</v>
      </c>
      <c r="X22" s="25" t="s">
        <v>2</v>
      </c>
      <c r="Y22" s="28">
        <f t="shared" si="0"/>
        <v>11.796167698962007</v>
      </c>
      <c r="Z22" s="28">
        <f>IF(Y22&lt;(Y30+Y38),Y22,(Y30+Y38))</f>
        <v>11.796167698962007</v>
      </c>
      <c r="AA22" s="25"/>
      <c r="AB22" s="58"/>
      <c r="AC22" s="25"/>
      <c r="AD22" s="27" t="s">
        <v>28</v>
      </c>
      <c r="AE22" s="28">
        <f t="shared" si="8"/>
        <v>17.183015922849478</v>
      </c>
      <c r="AF22" s="27" t="s">
        <v>84</v>
      </c>
      <c r="AG22" s="28">
        <f t="shared" si="9"/>
        <v>29.825112357029958</v>
      </c>
      <c r="AH22" s="25" t="s">
        <v>2</v>
      </c>
      <c r="AI22" s="28">
        <f t="shared" si="3"/>
        <v>12.058162117533271</v>
      </c>
      <c r="AJ22" s="28">
        <f>IF(AI22&lt;(AI30+AI38),AI22,(AI30+AI38))</f>
        <v>12.058162117533271</v>
      </c>
      <c r="AK22" s="25"/>
      <c r="AM22" s="25"/>
      <c r="AN22" s="27" t="s">
        <v>28</v>
      </c>
      <c r="AO22" s="28">
        <f t="shared" si="11"/>
        <v>17.431912574601618</v>
      </c>
      <c r="AP22" s="27" t="s">
        <v>84</v>
      </c>
      <c r="AQ22" s="28">
        <f t="shared" si="12"/>
        <v>29.825112357029958</v>
      </c>
      <c r="AR22" s="25" t="s">
        <v>2</v>
      </c>
      <c r="AS22" s="28">
        <f t="shared" si="6"/>
        <v>12.232825063247452</v>
      </c>
      <c r="AT22" s="28">
        <f>IF(AS22&lt;(AS30+AS38),AS22,(AS30+AS38))</f>
        <v>12.232825063247452</v>
      </c>
      <c r="AU22" s="25"/>
    </row>
    <row r="23" spans="2:47" x14ac:dyDescent="0.2">
      <c r="B23" s="4" t="str">
        <f>'option 3.2 modernised pack targ'!B23</f>
        <v>ratio industrial / consumer ML</v>
      </c>
      <c r="R23"/>
      <c r="S23" s="25"/>
      <c r="T23" s="27" t="s">
        <v>107</v>
      </c>
      <c r="U23" s="28">
        <f>$U$11*H211/100</f>
        <v>0.41146167138226708</v>
      </c>
      <c r="V23" s="27" t="s">
        <v>84</v>
      </c>
      <c r="W23" s="28">
        <v>0</v>
      </c>
      <c r="X23" s="25" t="s">
        <v>2</v>
      </c>
      <c r="Y23" s="28">
        <f>U23-U23*W23/100</f>
        <v>0.41146167138226708</v>
      </c>
      <c r="Z23" s="28">
        <f>IF(Y23&lt;(Y31+Y40),Y23,(Y31+Y40))</f>
        <v>0.41146167138226708</v>
      </c>
      <c r="AA23" s="25"/>
      <c r="AB23" s="58"/>
      <c r="AC23" s="25"/>
      <c r="AD23" s="27" t="s">
        <v>107</v>
      </c>
      <c r="AE23" s="28">
        <f t="shared" si="8"/>
        <v>0.42060028861027116</v>
      </c>
      <c r="AF23" s="27" t="s">
        <v>84</v>
      </c>
      <c r="AG23" s="28">
        <f t="shared" si="9"/>
        <v>0</v>
      </c>
      <c r="AH23" s="25" t="s">
        <v>2</v>
      </c>
      <c r="AI23" s="28">
        <f>AE23-AE23*AG23/100</f>
        <v>0.42060028861027116</v>
      </c>
      <c r="AJ23" s="28">
        <f>IF(AI23&lt;(AI31+AI40),AI23,(AI31+AI40))</f>
        <v>0.42060028861027116</v>
      </c>
      <c r="AK23" s="25"/>
      <c r="AM23" s="25"/>
      <c r="AN23" s="27" t="s">
        <v>107</v>
      </c>
      <c r="AO23" s="28">
        <f t="shared" si="11"/>
        <v>0.42669270009560711</v>
      </c>
      <c r="AP23" s="27" t="s">
        <v>84</v>
      </c>
      <c r="AQ23" s="28">
        <f t="shared" si="12"/>
        <v>0</v>
      </c>
      <c r="AR23" s="25" t="s">
        <v>2</v>
      </c>
      <c r="AS23" s="28">
        <f>AO23-AO23*AQ23/100</f>
        <v>0.42669270009560711</v>
      </c>
      <c r="AT23" s="28">
        <f>IF(AS23&lt;(AS31+AS40),AS23,(AS31+AS40))</f>
        <v>0.42669270009560711</v>
      </c>
      <c r="AU23" s="25"/>
    </row>
    <row r="24" spans="2:47" x14ac:dyDescent="0.2">
      <c r="B24" t="str">
        <f>'option 3.2 modernised pack targ'!B24</f>
        <v>as in BAU</v>
      </c>
      <c r="R24"/>
      <c r="S24" s="25"/>
      <c r="T24" s="27" t="s">
        <v>29</v>
      </c>
      <c r="U24" s="28">
        <f>$U$11*H212/100</f>
        <v>9.4489402479585731</v>
      </c>
      <c r="V24" s="27" t="s">
        <v>84</v>
      </c>
      <c r="W24" s="28">
        <v>0</v>
      </c>
      <c r="X24" s="25" t="s">
        <v>2</v>
      </c>
      <c r="Y24" s="28">
        <f t="shared" si="0"/>
        <v>9.4489402479585731</v>
      </c>
      <c r="Z24" s="28">
        <f>IF(Y24&lt;(Y32+Y40),Y24,(Y32+Y40))</f>
        <v>9.4489402479585731</v>
      </c>
      <c r="AA24" s="25"/>
      <c r="AB24" s="58"/>
      <c r="AC24" s="25"/>
      <c r="AD24" s="27" t="s">
        <v>29</v>
      </c>
      <c r="AE24" s="28">
        <f t="shared" si="8"/>
        <v>9.6588024396088663</v>
      </c>
      <c r="AF24" s="27" t="s">
        <v>84</v>
      </c>
      <c r="AG24" s="28">
        <f t="shared" si="9"/>
        <v>0</v>
      </c>
      <c r="AH24" s="25" t="s">
        <v>2</v>
      </c>
      <c r="AI24" s="28">
        <f t="shared" ref="AI24" si="14">AE24-AE24*AG24/100</f>
        <v>9.6588024396088663</v>
      </c>
      <c r="AJ24" s="28">
        <f>IF(AI24&lt;(AI32+AI40),AI24,(AI32+AI40))</f>
        <v>9.6588024396088663</v>
      </c>
      <c r="AK24" s="25"/>
      <c r="AM24" s="25"/>
      <c r="AN24" s="27" t="s">
        <v>29</v>
      </c>
      <c r="AO24" s="28">
        <f t="shared" si="11"/>
        <v>9.7987105673757284</v>
      </c>
      <c r="AP24" s="27" t="s">
        <v>84</v>
      </c>
      <c r="AQ24" s="28">
        <f t="shared" si="12"/>
        <v>0</v>
      </c>
      <c r="AR24" s="25" t="s">
        <v>2</v>
      </c>
      <c r="AS24" s="28">
        <f t="shared" ref="AS24" si="15">AO24-AO24*AQ24/100</f>
        <v>9.7987105673757284</v>
      </c>
      <c r="AT24" s="28">
        <f>IF(AS24&lt;(AS32+AS40),AS24,(AS32+AS40))</f>
        <v>9.7987105673757284</v>
      </c>
      <c r="AU24" s="25"/>
    </row>
    <row r="25" spans="2:47" x14ac:dyDescent="0.2">
      <c r="B25" s="79" t="str">
        <f>'option 3.2 modernised pack targ'!B25</f>
        <v>consumer (MSW)</v>
      </c>
      <c r="C25" s="11">
        <f>'option 3.2 modernised pack targ'!C25</f>
        <v>0.78366280390281762</v>
      </c>
      <c r="D25" s="79"/>
      <c r="E25" s="79"/>
      <c r="F25" s="79"/>
      <c r="G25" s="307"/>
      <c r="H25" s="80"/>
      <c r="I25" s="80"/>
      <c r="J25" s="80"/>
      <c r="K25" s="80"/>
      <c r="L25" s="79"/>
      <c r="M25" s="79"/>
      <c r="N25" s="79"/>
      <c r="O25" s="79"/>
      <c r="P25" s="79"/>
      <c r="Q25" s="79"/>
      <c r="R25"/>
      <c r="S25" s="25"/>
      <c r="T25" s="25"/>
      <c r="U25" s="26"/>
      <c r="V25" s="25"/>
      <c r="W25" s="25"/>
      <c r="X25" s="25"/>
      <c r="Y25" s="25"/>
      <c r="Z25" s="26"/>
      <c r="AA25" s="25"/>
      <c r="AB25" s="58"/>
      <c r="AC25" s="25"/>
      <c r="AD25" s="25"/>
      <c r="AE25" s="26"/>
      <c r="AF25" s="25"/>
      <c r="AG25" s="25"/>
      <c r="AH25" s="25"/>
      <c r="AI25" s="25"/>
      <c r="AJ25" s="26"/>
      <c r="AK25" s="25"/>
      <c r="AM25" s="25"/>
      <c r="AN25" s="25"/>
      <c r="AO25" s="26"/>
      <c r="AP25" s="25"/>
      <c r="AQ25" s="25"/>
      <c r="AR25" s="25"/>
      <c r="AS25" s="25"/>
      <c r="AT25" s="26"/>
      <c r="AU25" s="25"/>
    </row>
    <row r="26" spans="2:47" x14ac:dyDescent="0.2">
      <c r="B26" s="79" t="str">
        <f>'option 3.2 modernised pack targ'!B26</f>
        <v>industrial</v>
      </c>
      <c r="C26" s="11">
        <f>'option 3.2 modernised pack targ'!C26</f>
        <v>0.21633719609718238</v>
      </c>
      <c r="D26" s="79"/>
      <c r="E26" s="11"/>
      <c r="F26" s="11"/>
      <c r="G26" s="307"/>
      <c r="H26" s="11"/>
      <c r="I26" s="11"/>
      <c r="J26" s="11"/>
      <c r="K26" s="11"/>
      <c r="L26" s="79"/>
      <c r="M26" s="11"/>
      <c r="N26" s="11"/>
      <c r="O26" s="11"/>
      <c r="P26" s="11"/>
      <c r="Q26" s="11"/>
      <c r="R26" s="11"/>
      <c r="S26" s="25"/>
      <c r="T26" s="27" t="s">
        <v>38</v>
      </c>
      <c r="U26" s="28">
        <f>$U$15*H131/100</f>
        <v>40.714176822055109</v>
      </c>
      <c r="V26" s="27" t="s">
        <v>84</v>
      </c>
      <c r="W26" s="28">
        <f>H165</f>
        <v>0</v>
      </c>
      <c r="X26" s="25" t="s">
        <v>2</v>
      </c>
      <c r="Y26" s="28">
        <f>U26-W26*U26/100</f>
        <v>40.714176822055109</v>
      </c>
      <c r="Z26" s="29" t="s">
        <v>97</v>
      </c>
      <c r="AA26" s="25"/>
      <c r="AB26" s="58"/>
      <c r="AC26" s="25"/>
      <c r="AD26" s="27" t="s">
        <v>38</v>
      </c>
      <c r="AE26" s="28">
        <f>$AE$15*H131/100</f>
        <v>41.618443983757182</v>
      </c>
      <c r="AF26" s="27" t="s">
        <v>84</v>
      </c>
      <c r="AG26" s="28">
        <f>H165</f>
        <v>0</v>
      </c>
      <c r="AH26" s="25" t="s">
        <v>2</v>
      </c>
      <c r="AI26" s="28">
        <f>AE26-AG26*AE26/100</f>
        <v>41.618443983757182</v>
      </c>
      <c r="AJ26" s="29" t="s">
        <v>97</v>
      </c>
      <c r="AK26" s="25"/>
      <c r="AM26" s="25"/>
      <c r="AN26" s="27" t="s">
        <v>38</v>
      </c>
      <c r="AO26" s="28">
        <f>$AO$15*H131/100</f>
        <v>42.221288758225228</v>
      </c>
      <c r="AP26" s="27" t="s">
        <v>84</v>
      </c>
      <c r="AQ26" s="28">
        <f>H165</f>
        <v>0</v>
      </c>
      <c r="AR26" s="25" t="s">
        <v>2</v>
      </c>
      <c r="AS26" s="28">
        <f>AO26-AQ26*AO26/100</f>
        <v>42.221288758225228</v>
      </c>
      <c r="AT26" s="29" t="s">
        <v>97</v>
      </c>
      <c r="AU26" s="25"/>
    </row>
    <row r="27" spans="2:47" x14ac:dyDescent="0.2">
      <c r="B27" s="81"/>
      <c r="C27" s="11"/>
      <c r="D27" s="11"/>
      <c r="E27" s="11"/>
      <c r="F27" s="11"/>
      <c r="G27" s="307"/>
      <c r="H27" s="11"/>
      <c r="I27" s="11"/>
      <c r="J27" s="11"/>
      <c r="K27" s="11"/>
      <c r="L27" s="79"/>
      <c r="M27" s="11"/>
      <c r="N27" s="11"/>
      <c r="O27" s="11"/>
      <c r="P27" s="11"/>
      <c r="Q27" s="11"/>
      <c r="R27" s="11"/>
      <c r="S27" s="25"/>
      <c r="T27" s="27" t="s">
        <v>39</v>
      </c>
      <c r="U27" s="28">
        <f>$U$15*H132/100</f>
        <v>2.0770514927350527</v>
      </c>
      <c r="V27" s="27" t="s">
        <v>84</v>
      </c>
      <c r="W27" s="28">
        <f>H166</f>
        <v>0</v>
      </c>
      <c r="X27" s="25" t="s">
        <v>2</v>
      </c>
      <c r="Y27" s="28">
        <f t="shared" ref="Y27:Y32" si="16">U27-W27*U27/100</f>
        <v>2.0770514927350527</v>
      </c>
      <c r="Z27" s="29" t="s">
        <v>97</v>
      </c>
      <c r="AA27" s="25"/>
      <c r="AB27" s="58"/>
      <c r="AC27" s="25"/>
      <c r="AD27" s="27" t="s">
        <v>39</v>
      </c>
      <c r="AE27" s="28">
        <f t="shared" ref="AE27" si="17">$AE$15*H132/100</f>
        <v>2.1231830764891209</v>
      </c>
      <c r="AF27" s="27" t="s">
        <v>84</v>
      </c>
      <c r="AG27" s="28">
        <f>H166</f>
        <v>0</v>
      </c>
      <c r="AH27" s="25" t="s">
        <v>2</v>
      </c>
      <c r="AI27" s="28">
        <f t="shared" ref="AI27" si="18">AE27-AG27*AE27/100</f>
        <v>2.1231830764891209</v>
      </c>
      <c r="AJ27" s="29" t="s">
        <v>97</v>
      </c>
      <c r="AK27" s="25"/>
      <c r="AM27" s="25"/>
      <c r="AN27" s="27" t="s">
        <v>39</v>
      </c>
      <c r="AO27" s="28">
        <f t="shared" ref="AO27" si="19">$AO$15*H132/100</f>
        <v>2.1539374656584998</v>
      </c>
      <c r="AP27" s="27" t="s">
        <v>84</v>
      </c>
      <c r="AQ27" s="28">
        <f>H166</f>
        <v>0</v>
      </c>
      <c r="AR27" s="25" t="s">
        <v>2</v>
      </c>
      <c r="AS27" s="28">
        <f t="shared" ref="AS27" si="20">AO27-AQ27*AO27/100</f>
        <v>2.1539374656584998</v>
      </c>
      <c r="AT27" s="29" t="s">
        <v>97</v>
      </c>
      <c r="AU27" s="25"/>
    </row>
    <row r="28" spans="2:47" x14ac:dyDescent="0.2">
      <c r="B28" s="81"/>
      <c r="C28" s="11"/>
      <c r="D28" s="11"/>
      <c r="E28" s="11"/>
      <c r="F28" s="11"/>
      <c r="G28" s="307"/>
      <c r="H28" s="308"/>
      <c r="I28" s="308"/>
      <c r="J28" s="308"/>
      <c r="K28" s="308"/>
      <c r="L28" s="79"/>
      <c r="M28" s="11"/>
      <c r="N28" s="79"/>
      <c r="O28" s="79"/>
      <c r="P28" s="79"/>
      <c r="Q28" s="79"/>
      <c r="R28"/>
      <c r="S28" s="25"/>
      <c r="T28" s="27" t="s">
        <v>115</v>
      </c>
      <c r="U28" s="28">
        <f>$U$15*H134/100</f>
        <v>1.7116858693363994</v>
      </c>
      <c r="V28" s="27" t="s">
        <v>84</v>
      </c>
      <c r="W28" s="28">
        <f>H168</f>
        <v>0</v>
      </c>
      <c r="X28" s="25" t="s">
        <v>2</v>
      </c>
      <c r="Y28" s="28">
        <f>U28-W28*U28/100</f>
        <v>1.7116858693363994</v>
      </c>
      <c r="Z28" s="29" t="s">
        <v>97</v>
      </c>
      <c r="AA28" s="25"/>
      <c r="AB28" s="58"/>
      <c r="AC28" s="25"/>
      <c r="AD28" s="27" t="s">
        <v>115</v>
      </c>
      <c r="AE28" s="28">
        <f>$AE$15*H134/100</f>
        <v>1.7497026350825242</v>
      </c>
      <c r="AF28" s="27" t="s">
        <v>84</v>
      </c>
      <c r="AG28" s="28">
        <f>H168</f>
        <v>0</v>
      </c>
      <c r="AH28" s="25" t="s">
        <v>2</v>
      </c>
      <c r="AI28" s="28">
        <f>AE28-AG28*AE28/100</f>
        <v>1.7497026350825242</v>
      </c>
      <c r="AJ28" s="29" t="s">
        <v>97</v>
      </c>
      <c r="AK28" s="25"/>
      <c r="AM28" s="25"/>
      <c r="AN28" s="27" t="s">
        <v>115</v>
      </c>
      <c r="AO28" s="28">
        <f>$AO$15*H134/100</f>
        <v>1.7750471455799408</v>
      </c>
      <c r="AP28" s="27" t="s">
        <v>84</v>
      </c>
      <c r="AQ28" s="28">
        <f>H168</f>
        <v>0</v>
      </c>
      <c r="AR28" s="25" t="s">
        <v>2</v>
      </c>
      <c r="AS28" s="28">
        <f>AO28-AQ28*AO28/100</f>
        <v>1.7750471455799408</v>
      </c>
      <c r="AT28" s="29" t="s">
        <v>97</v>
      </c>
      <c r="AU28" s="25"/>
    </row>
    <row r="29" spans="2:47" x14ac:dyDescent="0.2">
      <c r="B29" s="82"/>
      <c r="C29" s="82"/>
      <c r="D29" s="82"/>
      <c r="E29" s="82"/>
      <c r="F29" s="82"/>
      <c r="G29" s="307"/>
      <c r="H29" s="11"/>
      <c r="I29" s="11"/>
      <c r="J29" s="11"/>
      <c r="K29" s="11"/>
      <c r="L29" s="79"/>
      <c r="M29" s="75"/>
      <c r="N29" s="11"/>
      <c r="O29" s="11"/>
      <c r="P29" s="11"/>
      <c r="Q29" s="11"/>
      <c r="R29" s="3"/>
      <c r="S29" s="25"/>
      <c r="T29" s="27" t="s">
        <v>116</v>
      </c>
      <c r="U29" s="28">
        <f>$U$15*H135/100</f>
        <v>0.31184170459189348</v>
      </c>
      <c r="V29" s="27" t="s">
        <v>84</v>
      </c>
      <c r="W29" s="28">
        <f>H167</f>
        <v>0</v>
      </c>
      <c r="X29" s="25" t="s">
        <v>2</v>
      </c>
      <c r="Y29" s="28">
        <f>U29-W29*U29/100</f>
        <v>0.31184170459189348</v>
      </c>
      <c r="Z29" s="29" t="s">
        <v>97</v>
      </c>
      <c r="AA29" s="25"/>
      <c r="AB29" s="58"/>
      <c r="AC29" s="25"/>
      <c r="AD29" s="27" t="s">
        <v>116</v>
      </c>
      <c r="AE29" s="28">
        <f t="shared" ref="AE29:AE32" si="21">$AE$15*H135/100</f>
        <v>0.31876774940287178</v>
      </c>
      <c r="AF29" s="27" t="s">
        <v>84</v>
      </c>
      <c r="AG29" s="28">
        <f>H167</f>
        <v>0</v>
      </c>
      <c r="AH29" s="25" t="s">
        <v>2</v>
      </c>
      <c r="AI29" s="28">
        <f>AE29-AG29*AE29/100</f>
        <v>0.31876774940287178</v>
      </c>
      <c r="AJ29" s="29" t="s">
        <v>97</v>
      </c>
      <c r="AK29" s="25"/>
      <c r="AM29" s="25"/>
      <c r="AN29" s="27" t="s">
        <v>116</v>
      </c>
      <c r="AO29" s="28">
        <f t="shared" ref="AO29:AO32" si="22">$AO$15*H135/100</f>
        <v>0.32338511261019065</v>
      </c>
      <c r="AP29" s="27" t="s">
        <v>84</v>
      </c>
      <c r="AQ29" s="28">
        <f>H167</f>
        <v>0</v>
      </c>
      <c r="AR29" s="25" t="s">
        <v>2</v>
      </c>
      <c r="AS29" s="28">
        <f>AO29-AQ29*AO29/100</f>
        <v>0.32338511261019065</v>
      </c>
      <c r="AT29" s="29" t="s">
        <v>97</v>
      </c>
      <c r="AU29" s="25"/>
    </row>
    <row r="30" spans="2:47" x14ac:dyDescent="0.2">
      <c r="K30" s="193"/>
      <c r="L30" s="194"/>
      <c r="M30" s="194"/>
      <c r="N30" s="194"/>
      <c r="O30" s="194"/>
      <c r="P30" s="194"/>
      <c r="Q30" s="195"/>
      <c r="R30"/>
      <c r="S30" s="25"/>
      <c r="T30" s="27" t="s">
        <v>41</v>
      </c>
      <c r="U30" s="28">
        <f>$U$15*H136/100</f>
        <v>3.6641848489839943</v>
      </c>
      <c r="V30" s="27" t="s">
        <v>84</v>
      </c>
      <c r="W30" s="28">
        <f>H169</f>
        <v>0</v>
      </c>
      <c r="X30" s="25" t="s">
        <v>2</v>
      </c>
      <c r="Y30" s="28">
        <f t="shared" si="16"/>
        <v>3.6641848489839943</v>
      </c>
      <c r="Z30" s="29" t="s">
        <v>97</v>
      </c>
      <c r="AA30" s="25"/>
      <c r="AB30" s="58"/>
      <c r="AC30" s="25"/>
      <c r="AD30" s="27" t="s">
        <v>41</v>
      </c>
      <c r="AE30" s="28">
        <f t="shared" si="21"/>
        <v>3.7455668709716674</v>
      </c>
      <c r="AF30" s="27" t="s">
        <v>84</v>
      </c>
      <c r="AG30" s="28">
        <f>H169</f>
        <v>0</v>
      </c>
      <c r="AH30" s="25" t="s">
        <v>2</v>
      </c>
      <c r="AI30" s="28">
        <f t="shared" ref="AI30:AI32" si="23">AE30-AG30*AE30/100</f>
        <v>3.7455668709716674</v>
      </c>
      <c r="AJ30" s="29" t="s">
        <v>97</v>
      </c>
      <c r="AK30" s="25"/>
      <c r="AM30" s="25"/>
      <c r="AN30" s="27" t="s">
        <v>41</v>
      </c>
      <c r="AO30" s="28">
        <f t="shared" si="22"/>
        <v>3.7998215522967826</v>
      </c>
      <c r="AP30" s="27" t="s">
        <v>84</v>
      </c>
      <c r="AQ30" s="28">
        <f>H169</f>
        <v>0</v>
      </c>
      <c r="AR30" s="25" t="s">
        <v>2</v>
      </c>
      <c r="AS30" s="28">
        <f t="shared" ref="AS30:AS32" si="24">AO30-AQ30*AO30/100</f>
        <v>3.7998215522967826</v>
      </c>
      <c r="AT30" s="29" t="s">
        <v>97</v>
      </c>
      <c r="AU30" s="25"/>
    </row>
    <row r="31" spans="2:47" x14ac:dyDescent="0.2">
      <c r="K31" s="183" t="s">
        <v>213</v>
      </c>
      <c r="L31" s="79"/>
      <c r="M31" s="79"/>
      <c r="N31" s="79"/>
      <c r="O31" s="79"/>
      <c r="P31" s="79"/>
      <c r="Q31" s="184"/>
      <c r="R31"/>
      <c r="S31" s="25"/>
      <c r="T31" s="27" t="s">
        <v>105</v>
      </c>
      <c r="U31" s="28">
        <f>$U$15*H137/100</f>
        <v>0.35883503911995668</v>
      </c>
      <c r="V31" s="27" t="s">
        <v>84</v>
      </c>
      <c r="W31" s="28">
        <f>H170</f>
        <v>0</v>
      </c>
      <c r="X31" s="25" t="s">
        <v>2</v>
      </c>
      <c r="Y31" s="28">
        <f t="shared" si="16"/>
        <v>0.35883503911995668</v>
      </c>
      <c r="Z31" s="29" t="s">
        <v>97</v>
      </c>
      <c r="AA31" s="25"/>
      <c r="AB31" s="58"/>
      <c r="AC31" s="25"/>
      <c r="AD31" s="27" t="s">
        <v>105</v>
      </c>
      <c r="AE31" s="28">
        <f t="shared" si="21"/>
        <v>0.36680481200183107</v>
      </c>
      <c r="AF31" s="27" t="s">
        <v>84</v>
      </c>
      <c r="AG31" s="28">
        <f>H170</f>
        <v>0</v>
      </c>
      <c r="AH31" s="25" t="s">
        <v>2</v>
      </c>
      <c r="AI31" s="28">
        <f t="shared" si="23"/>
        <v>0.36680481200183107</v>
      </c>
      <c r="AJ31" s="29" t="s">
        <v>97</v>
      </c>
      <c r="AK31" s="25"/>
      <c r="AM31" s="25"/>
      <c r="AN31" s="27" t="s">
        <v>105</v>
      </c>
      <c r="AO31" s="28">
        <f t="shared" si="22"/>
        <v>0.37211799392308076</v>
      </c>
      <c r="AP31" s="27" t="s">
        <v>84</v>
      </c>
      <c r="AQ31" s="28">
        <f>H170</f>
        <v>0</v>
      </c>
      <c r="AR31" s="25" t="s">
        <v>2</v>
      </c>
      <c r="AS31" s="28">
        <f t="shared" si="24"/>
        <v>0.37211799392308076</v>
      </c>
      <c r="AT31" s="29" t="s">
        <v>97</v>
      </c>
      <c r="AU31" s="25"/>
    </row>
    <row r="32" spans="2:47" x14ac:dyDescent="0.2">
      <c r="K32" s="183"/>
      <c r="L32" s="79"/>
      <c r="M32" s="79"/>
      <c r="N32" s="79"/>
      <c r="O32" s="79"/>
      <c r="P32" s="79"/>
      <c r="Q32" s="184"/>
      <c r="R32"/>
      <c r="S32" s="25"/>
      <c r="T32" s="27" t="s">
        <v>52</v>
      </c>
      <c r="U32" s="28">
        <f>$U$15*H138/100</f>
        <v>0.18120725081092665</v>
      </c>
      <c r="V32" s="27" t="s">
        <v>84</v>
      </c>
      <c r="W32" s="28">
        <v>0</v>
      </c>
      <c r="X32" s="25" t="s">
        <v>2</v>
      </c>
      <c r="Y32" s="28">
        <f t="shared" si="16"/>
        <v>0.18120725081092665</v>
      </c>
      <c r="Z32" s="29" t="s">
        <v>97</v>
      </c>
      <c r="AA32" s="25"/>
      <c r="AB32" s="58"/>
      <c r="AC32" s="25"/>
      <c r="AD32" s="27" t="s">
        <v>52</v>
      </c>
      <c r="AE32" s="28">
        <f t="shared" si="21"/>
        <v>0.18523188741568464</v>
      </c>
      <c r="AF32" s="27" t="s">
        <v>84</v>
      </c>
      <c r="AG32" s="28">
        <v>0</v>
      </c>
      <c r="AH32" s="25" t="s">
        <v>2</v>
      </c>
      <c r="AI32" s="28">
        <f t="shared" si="23"/>
        <v>0.18523188741568464</v>
      </c>
      <c r="AJ32" s="29" t="s">
        <v>97</v>
      </c>
      <c r="AK32" s="25"/>
      <c r="AM32" s="25"/>
      <c r="AN32" s="27" t="s">
        <v>52</v>
      </c>
      <c r="AO32" s="28">
        <f t="shared" si="22"/>
        <v>0.1879149784855233</v>
      </c>
      <c r="AP32" s="27" t="s">
        <v>84</v>
      </c>
      <c r="AQ32" s="28">
        <f t="shared" ref="AQ32" si="25">G171</f>
        <v>0</v>
      </c>
      <c r="AR32" s="25" t="s">
        <v>2</v>
      </c>
      <c r="AS32" s="28">
        <f t="shared" si="24"/>
        <v>0.1879149784855233</v>
      </c>
      <c r="AT32" s="29" t="s">
        <v>97</v>
      </c>
      <c r="AU32" s="25"/>
    </row>
    <row r="33" spans="2:47" x14ac:dyDescent="0.2">
      <c r="K33" s="183"/>
      <c r="L33" s="81" t="str">
        <f>'option 3.2 modernised pack targ'!J36</f>
        <v>% steel recycling</v>
      </c>
      <c r="M33" s="134">
        <f>'option 3.2 modernised pack targ'!K36</f>
        <v>88.788254177044905</v>
      </c>
      <c r="N33" s="79" t="s">
        <v>2</v>
      </c>
      <c r="O33" s="79"/>
      <c r="P33" s="79"/>
      <c r="Q33" s="184"/>
      <c r="R33"/>
      <c r="S33" s="25"/>
      <c r="T33" s="27"/>
      <c r="U33" s="26"/>
      <c r="V33" s="25"/>
      <c r="W33" s="25"/>
      <c r="X33" s="25"/>
      <c r="Y33" s="26"/>
      <c r="Z33" s="26"/>
      <c r="AA33" s="25"/>
      <c r="AB33" s="58"/>
      <c r="AC33" s="25"/>
      <c r="AD33" s="27"/>
      <c r="AE33" s="26"/>
      <c r="AF33" s="25"/>
      <c r="AG33" s="25"/>
      <c r="AH33" s="25"/>
      <c r="AI33" s="26"/>
      <c r="AJ33" s="26"/>
      <c r="AK33" s="25"/>
      <c r="AM33" s="25"/>
      <c r="AN33" s="27"/>
      <c r="AO33" s="26"/>
      <c r="AP33" s="25"/>
      <c r="AQ33" s="25"/>
      <c r="AR33" s="25"/>
      <c r="AS33" s="26"/>
      <c r="AT33" s="26"/>
      <c r="AU33" s="25"/>
    </row>
    <row r="34" spans="2:47" ht="13.5" thickBot="1" x14ac:dyDescent="0.25">
      <c r="B34" s="84" t="s">
        <v>22</v>
      </c>
      <c r="C34" s="53"/>
      <c r="D34">
        <v>2012</v>
      </c>
      <c r="E34" s="10">
        <v>24.434055020947763</v>
      </c>
      <c r="F34" t="s">
        <v>2</v>
      </c>
      <c r="K34" s="183"/>
      <c r="L34" s="81" t="str">
        <f>'option 3.2 modernised pack targ'!J37</f>
        <v>% alu recycling</v>
      </c>
      <c r="M34" s="134">
        <f>'option 3.2 modernised pack targ'!K37</f>
        <v>11.211745822955104</v>
      </c>
      <c r="N34" s="79" t="s">
        <v>2</v>
      </c>
      <c r="O34" s="79"/>
      <c r="P34" s="79"/>
      <c r="Q34" s="184"/>
      <c r="R34"/>
      <c r="S34" s="25"/>
      <c r="T34" s="27" t="s">
        <v>42</v>
      </c>
      <c r="U34" s="28">
        <f t="shared" ref="U34:U40" si="26">U18-U26</f>
        <v>8.5361267934467833</v>
      </c>
      <c r="V34" s="27" t="s">
        <v>84</v>
      </c>
      <c r="W34" s="28">
        <f>W18</f>
        <v>3.3683912778993195</v>
      </c>
      <c r="X34" s="25" t="s">
        <v>2</v>
      </c>
      <c r="Y34" s="28">
        <f>U34-W34*U34/100</f>
        <v>8.2485966430658948</v>
      </c>
      <c r="Z34" s="29" t="s">
        <v>97</v>
      </c>
      <c r="AA34" s="25"/>
      <c r="AB34" s="58"/>
      <c r="AC34" s="25"/>
      <c r="AD34" s="27" t="s">
        <v>42</v>
      </c>
      <c r="AE34" s="28">
        <f t="shared" ref="AE34:AE40" si="27">AE18-AE26</f>
        <v>8.725715279569819</v>
      </c>
      <c r="AF34" s="27" t="s">
        <v>84</v>
      </c>
      <c r="AG34" s="28">
        <f>AG18</f>
        <v>3.3683912778993195</v>
      </c>
      <c r="AH34" s="25" t="s">
        <v>2</v>
      </c>
      <c r="AI34" s="28">
        <f>AE34-AG34*AE34/100</f>
        <v>8.4317990471584601</v>
      </c>
      <c r="AJ34" s="29" t="s">
        <v>97</v>
      </c>
      <c r="AK34" s="25"/>
      <c r="AM34" s="25"/>
      <c r="AN34" s="27" t="s">
        <v>42</v>
      </c>
      <c r="AO34" s="28">
        <f t="shared" ref="AO34:AO40" si="28">AO18-AO26</f>
        <v>8.8521076036518451</v>
      </c>
      <c r="AP34" s="27" t="s">
        <v>84</v>
      </c>
      <c r="AQ34" s="28">
        <f>AQ18</f>
        <v>3.3683912778993195</v>
      </c>
      <c r="AR34" s="25" t="s">
        <v>2</v>
      </c>
      <c r="AS34" s="28">
        <f>AO34-AQ34*AO34/100</f>
        <v>8.5539339832201744</v>
      </c>
      <c r="AT34" s="29" t="s">
        <v>97</v>
      </c>
      <c r="AU34" s="25"/>
    </row>
    <row r="35" spans="2:47" ht="14.25" thickTop="1" thickBot="1" x14ac:dyDescent="0.25">
      <c r="D35">
        <v>2020</v>
      </c>
      <c r="E35" s="152">
        <v>50</v>
      </c>
      <c r="F35" t="s">
        <v>2</v>
      </c>
      <c r="G35" t="s">
        <v>212</v>
      </c>
      <c r="K35" s="183"/>
      <c r="L35" s="79" t="str">
        <f>'option 3.2 modernised pack targ'!I39</f>
        <v>Of all recycled metal packaging, 88,8% is steel packaging recycling</v>
      </c>
      <c r="M35" s="79"/>
      <c r="N35" s="79"/>
      <c r="O35" s="79"/>
      <c r="P35" s="79"/>
      <c r="Q35" s="184"/>
      <c r="R35"/>
      <c r="S35" s="25"/>
      <c r="T35" s="27" t="s">
        <v>43</v>
      </c>
      <c r="U35" s="28">
        <f t="shared" si="26"/>
        <v>0.30461970872780064</v>
      </c>
      <c r="V35" s="27" t="s">
        <v>84</v>
      </c>
      <c r="W35" s="28">
        <f>W19</f>
        <v>49.031717839567399</v>
      </c>
      <c r="X35" s="25" t="s">
        <v>2</v>
      </c>
      <c r="Y35" s="28">
        <f t="shared" ref="Y35:Y40" si="29">U35-W35*U35/100</f>
        <v>0.15525943266067338</v>
      </c>
      <c r="Z35" s="29" t="s">
        <v>97</v>
      </c>
      <c r="AA35" s="25"/>
      <c r="AB35" s="58"/>
      <c r="AC35" s="25"/>
      <c r="AD35" s="27" t="s">
        <v>43</v>
      </c>
      <c r="AE35" s="28">
        <f t="shared" si="27"/>
        <v>0.3113853520714871</v>
      </c>
      <c r="AF35" s="27" t="s">
        <v>84</v>
      </c>
      <c r="AG35" s="28">
        <f>AG19</f>
        <v>49.031717839567399</v>
      </c>
      <c r="AH35" s="25" t="s">
        <v>2</v>
      </c>
      <c r="AI35" s="28">
        <f t="shared" ref="AI35" si="30">AE35-AG35*AE35/100</f>
        <v>0.158707764850052</v>
      </c>
      <c r="AJ35" s="29" t="s">
        <v>97</v>
      </c>
      <c r="AK35" s="25"/>
      <c r="AM35" s="25"/>
      <c r="AN35" s="27" t="s">
        <v>43</v>
      </c>
      <c r="AO35" s="28">
        <f t="shared" si="28"/>
        <v>0.31589578096727822</v>
      </c>
      <c r="AP35" s="27" t="s">
        <v>84</v>
      </c>
      <c r="AQ35" s="28">
        <f>AQ19</f>
        <v>49.031717839567399</v>
      </c>
      <c r="AR35" s="25" t="s">
        <v>2</v>
      </c>
      <c r="AS35" s="28">
        <f t="shared" ref="AS35" si="31">AO35-AQ35*AO35/100</f>
        <v>0.16100665297630451</v>
      </c>
      <c r="AT35" s="29" t="s">
        <v>97</v>
      </c>
      <c r="AU35" s="25"/>
    </row>
    <row r="36" spans="2:47" ht="13.5" thickTop="1" x14ac:dyDescent="0.2">
      <c r="E36" s="10"/>
      <c r="K36" s="183"/>
      <c r="L36" s="79" t="str">
        <f>'option 3.2 modernised pack targ'!I40</f>
        <v>We assume this ratio valid as well for non packaging MSW metal waste</v>
      </c>
      <c r="M36" s="79"/>
      <c r="N36" s="79"/>
      <c r="O36" s="79"/>
      <c r="P36" s="79"/>
      <c r="Q36" s="184"/>
      <c r="R36"/>
      <c r="S36" s="25"/>
      <c r="T36" s="27" t="s">
        <v>117</v>
      </c>
      <c r="U36" s="28">
        <f t="shared" si="26"/>
        <v>0.26338664922059341</v>
      </c>
      <c r="V36" s="27" t="s">
        <v>84</v>
      </c>
      <c r="W36" s="28">
        <f t="shared" ref="W36:W37" si="32">W20</f>
        <v>15.181891207263545</v>
      </c>
      <c r="X36" s="25" t="s">
        <v>2</v>
      </c>
      <c r="Y36" s="28">
        <f>U36-W36*U36/100</f>
        <v>0.22339957468146607</v>
      </c>
      <c r="Z36" s="29" t="s">
        <v>97</v>
      </c>
      <c r="AA36" s="25"/>
      <c r="AB36" s="58"/>
      <c r="AC36" s="25"/>
      <c r="AD36" s="27" t="s">
        <v>117</v>
      </c>
      <c r="AE36" s="28">
        <f t="shared" si="27"/>
        <v>0.26923650095066454</v>
      </c>
      <c r="AF36" s="27" t="s">
        <v>84</v>
      </c>
      <c r="AG36" s="28">
        <f t="shared" ref="AG36:AG37" si="33">AG20</f>
        <v>15.181891207263545</v>
      </c>
      <c r="AH36" s="25" t="s">
        <v>2</v>
      </c>
      <c r="AI36" s="28">
        <f>AE36-AG36*AE36/100</f>
        <v>0.22836130828609155</v>
      </c>
      <c r="AJ36" s="29" t="s">
        <v>97</v>
      </c>
      <c r="AK36" s="25"/>
      <c r="AM36" s="25"/>
      <c r="AN36" s="27" t="s">
        <v>117</v>
      </c>
      <c r="AO36" s="28">
        <f t="shared" si="28"/>
        <v>0.27313640210404522</v>
      </c>
      <c r="AP36" s="27" t="s">
        <v>84</v>
      </c>
      <c r="AQ36" s="28">
        <f t="shared" ref="AQ36:AQ37" si="34">AQ20</f>
        <v>15.181891207263545</v>
      </c>
      <c r="AR36" s="25" t="s">
        <v>2</v>
      </c>
      <c r="AS36" s="28">
        <f>AO36-AQ36*AO36/100</f>
        <v>0.23166913068917516</v>
      </c>
      <c r="AT36" s="29" t="s">
        <v>97</v>
      </c>
      <c r="AU36" s="25"/>
    </row>
    <row r="37" spans="2:47" x14ac:dyDescent="0.2">
      <c r="C37" s="9"/>
      <c r="E37" s="34"/>
      <c r="K37" s="183"/>
      <c r="L37" s="81" t="str">
        <f>'option 3.2 modernised pack targ'!J42</f>
        <v>% steel packaging</v>
      </c>
      <c r="M37" s="134">
        <f>'option 3.2 modernised pack targ'!K42</f>
        <v>84.589204090433412</v>
      </c>
      <c r="N37" s="79" t="s">
        <v>2</v>
      </c>
      <c r="O37" s="79"/>
      <c r="P37" s="79"/>
      <c r="Q37" s="184"/>
      <c r="R37"/>
      <c r="S37" s="25"/>
      <c r="T37" s="27" t="s">
        <v>118</v>
      </c>
      <c r="U37" s="28">
        <f t="shared" si="26"/>
        <v>4.7984821941387978E-2</v>
      </c>
      <c r="V37" s="27" t="s">
        <v>84</v>
      </c>
      <c r="W37" s="28">
        <f t="shared" si="32"/>
        <v>9.5111489656680757</v>
      </c>
      <c r="X37" s="25" t="s">
        <v>2</v>
      </c>
      <c r="Y37" s="28">
        <f t="shared" ref="Y37" si="35">U37-W37*U37/100</f>
        <v>4.3420914045631989E-2</v>
      </c>
      <c r="Z37" s="29" t="s">
        <v>97</v>
      </c>
      <c r="AA37" s="25"/>
      <c r="AB37" s="58"/>
      <c r="AC37" s="25"/>
      <c r="AD37" s="27" t="s">
        <v>118</v>
      </c>
      <c r="AE37" s="28">
        <f t="shared" si="27"/>
        <v>4.9050571076667326E-2</v>
      </c>
      <c r="AF37" s="27" t="s">
        <v>84</v>
      </c>
      <c r="AG37" s="28">
        <f t="shared" si="33"/>
        <v>9.5111489656680757</v>
      </c>
      <c r="AH37" s="25" t="s">
        <v>2</v>
      </c>
      <c r="AI37" s="28">
        <f t="shared" ref="AI37:AI40" si="36">AE37-AG37*AE37/100</f>
        <v>4.4385298193054597E-2</v>
      </c>
      <c r="AJ37" s="29" t="s">
        <v>97</v>
      </c>
      <c r="AK37" s="25"/>
      <c r="AM37" s="25"/>
      <c r="AN37" s="27" t="s">
        <v>118</v>
      </c>
      <c r="AO37" s="28">
        <f t="shared" si="28"/>
        <v>4.9761070500187021E-2</v>
      </c>
      <c r="AP37" s="27" t="s">
        <v>84</v>
      </c>
      <c r="AQ37" s="28">
        <f t="shared" si="34"/>
        <v>9.5111489656680757</v>
      </c>
      <c r="AR37" s="25" t="s">
        <v>2</v>
      </c>
      <c r="AS37" s="28">
        <f t="shared" ref="AS37:AS40" si="37">AO37-AQ37*AO37/100</f>
        <v>4.5028220958003122E-2</v>
      </c>
      <c r="AT37" s="29" t="s">
        <v>97</v>
      </c>
      <c r="AU37" s="25"/>
    </row>
    <row r="38" spans="2:47" x14ac:dyDescent="0.2">
      <c r="E38" s="34"/>
      <c r="K38" s="183"/>
      <c r="L38" s="81" t="str">
        <f>'option 3.2 modernised pack targ'!J43</f>
        <v>% alu packaging</v>
      </c>
      <c r="M38" s="134">
        <f>'option 3.2 modernised pack targ'!K43</f>
        <v>15.410795909566593</v>
      </c>
      <c r="N38" s="79" t="s">
        <v>2</v>
      </c>
      <c r="O38" s="79"/>
      <c r="P38" s="79"/>
      <c r="Q38" s="184"/>
      <c r="R38"/>
      <c r="S38" s="25"/>
      <c r="T38" s="27" t="s">
        <v>45</v>
      </c>
      <c r="U38" s="28">
        <f t="shared" si="26"/>
        <v>13.145486096237276</v>
      </c>
      <c r="V38" s="27" t="s">
        <v>84</v>
      </c>
      <c r="W38" s="28">
        <f>W22</f>
        <v>29.825112357029958</v>
      </c>
      <c r="X38" s="25" t="s">
        <v>2</v>
      </c>
      <c r="Y38" s="28">
        <f t="shared" si="29"/>
        <v>9.2248300981567564</v>
      </c>
      <c r="Z38" s="29" t="s">
        <v>97</v>
      </c>
      <c r="AA38" s="25"/>
      <c r="AB38" s="58"/>
      <c r="AC38" s="25"/>
      <c r="AD38" s="27" t="s">
        <v>45</v>
      </c>
      <c r="AE38" s="28">
        <f t="shared" si="27"/>
        <v>13.43744905187781</v>
      </c>
      <c r="AF38" s="27" t="s">
        <v>84</v>
      </c>
      <c r="AG38" s="28">
        <f>AG22</f>
        <v>29.825112357029958</v>
      </c>
      <c r="AH38" s="25" t="s">
        <v>2</v>
      </c>
      <c r="AI38" s="28">
        <f t="shared" si="36"/>
        <v>9.4297147742365954</v>
      </c>
      <c r="AJ38" s="29" t="s">
        <v>97</v>
      </c>
      <c r="AK38" s="25"/>
      <c r="AM38" s="25"/>
      <c r="AN38" s="27" t="s">
        <v>45</v>
      </c>
      <c r="AO38" s="28">
        <f t="shared" si="28"/>
        <v>13.632091022304836</v>
      </c>
      <c r="AP38" s="27" t="s">
        <v>84</v>
      </c>
      <c r="AQ38" s="28">
        <f>AQ22</f>
        <v>29.825112357029958</v>
      </c>
      <c r="AR38" s="25" t="s">
        <v>2</v>
      </c>
      <c r="AS38" s="28">
        <f t="shared" si="37"/>
        <v>9.5663045582898256</v>
      </c>
      <c r="AT38" s="29" t="s">
        <v>97</v>
      </c>
      <c r="AU38" s="25"/>
    </row>
    <row r="39" spans="2:47" x14ac:dyDescent="0.2">
      <c r="E39" s="34"/>
      <c r="K39" s="183"/>
      <c r="L39" s="79" t="str">
        <f>'option 3.2 modernised pack targ'!I45</f>
        <v>Of all generated metal packaging, 84,6% is steel packaging</v>
      </c>
      <c r="M39" s="79"/>
      <c r="N39" s="79"/>
      <c r="O39" s="79"/>
      <c r="P39" s="79"/>
      <c r="Q39" s="184"/>
      <c r="R39"/>
      <c r="S39" s="25"/>
      <c r="T39" s="27" t="s">
        <v>108</v>
      </c>
      <c r="U39" s="28">
        <f t="shared" si="26"/>
        <v>5.2626632262310402E-2</v>
      </c>
      <c r="V39" s="27" t="s">
        <v>84</v>
      </c>
      <c r="W39" s="28">
        <f>W23</f>
        <v>0</v>
      </c>
      <c r="X39" s="25" t="s">
        <v>2</v>
      </c>
      <c r="Y39" s="28">
        <f t="shared" si="29"/>
        <v>5.2626632262310402E-2</v>
      </c>
      <c r="Z39" s="29" t="s">
        <v>97</v>
      </c>
      <c r="AA39" s="25"/>
      <c r="AC39" s="25"/>
      <c r="AD39" s="27" t="s">
        <v>108</v>
      </c>
      <c r="AE39" s="28">
        <f t="shared" si="27"/>
        <v>5.3795476608440085E-2</v>
      </c>
      <c r="AF39" s="27" t="s">
        <v>84</v>
      </c>
      <c r="AG39" s="28">
        <f>AG23</f>
        <v>0</v>
      </c>
      <c r="AH39" s="25" t="s">
        <v>2</v>
      </c>
      <c r="AI39" s="28">
        <f t="shared" si="36"/>
        <v>5.3795476608440085E-2</v>
      </c>
      <c r="AJ39" s="29" t="s">
        <v>97</v>
      </c>
      <c r="AK39" s="25"/>
      <c r="AM39" s="25"/>
      <c r="AN39" s="27" t="s">
        <v>108</v>
      </c>
      <c r="AO39" s="28">
        <f t="shared" si="28"/>
        <v>5.4574706172526355E-2</v>
      </c>
      <c r="AP39" s="27" t="s">
        <v>84</v>
      </c>
      <c r="AQ39" s="28">
        <f>AQ23</f>
        <v>0</v>
      </c>
      <c r="AR39" s="25" t="s">
        <v>2</v>
      </c>
      <c r="AS39" s="28">
        <f t="shared" si="37"/>
        <v>5.4574706172526355E-2</v>
      </c>
      <c r="AT39" s="29" t="s">
        <v>97</v>
      </c>
      <c r="AU39" s="25"/>
    </row>
    <row r="40" spans="2:47" x14ac:dyDescent="0.2">
      <c r="E40" s="34"/>
      <c r="K40" s="183"/>
      <c r="L40" s="79" t="str">
        <f>'option 3.2 modernised pack targ'!I46</f>
        <v>We assume this ratio valid as well for non packaging MSW metal waste</v>
      </c>
      <c r="M40" s="79"/>
      <c r="N40" s="79"/>
      <c r="O40" s="79"/>
      <c r="P40" s="79"/>
      <c r="Q40" s="184"/>
      <c r="R40"/>
      <c r="S40" s="25"/>
      <c r="T40" s="27" t="s">
        <v>96</v>
      </c>
      <c r="U40" s="28">
        <f t="shared" si="26"/>
        <v>9.2677329971476468</v>
      </c>
      <c r="V40" s="27" t="s">
        <v>84</v>
      </c>
      <c r="W40" s="28">
        <v>0</v>
      </c>
      <c r="X40" s="25" t="s">
        <v>2</v>
      </c>
      <c r="Y40" s="28">
        <f t="shared" si="29"/>
        <v>9.2677329971476468</v>
      </c>
      <c r="Z40" s="29" t="s">
        <v>97</v>
      </c>
      <c r="AA40" s="25"/>
      <c r="AC40" s="25"/>
      <c r="AD40" s="27" t="s">
        <v>96</v>
      </c>
      <c r="AE40" s="28">
        <f t="shared" si="27"/>
        <v>9.4735705521931823</v>
      </c>
      <c r="AF40" s="27" t="s">
        <v>84</v>
      </c>
      <c r="AG40" s="28">
        <v>0</v>
      </c>
      <c r="AH40" s="25" t="s">
        <v>2</v>
      </c>
      <c r="AI40" s="28">
        <f t="shared" si="36"/>
        <v>9.4735705521931823</v>
      </c>
      <c r="AJ40" s="29" t="s">
        <v>97</v>
      </c>
      <c r="AK40" s="25"/>
      <c r="AM40" s="25"/>
      <c r="AN40" s="27" t="s">
        <v>96</v>
      </c>
      <c r="AO40" s="28">
        <f t="shared" si="28"/>
        <v>9.6107955888902055</v>
      </c>
      <c r="AP40" s="27" t="s">
        <v>84</v>
      </c>
      <c r="AQ40" s="28">
        <v>0</v>
      </c>
      <c r="AR40" s="25" t="s">
        <v>2</v>
      </c>
      <c r="AS40" s="28">
        <f t="shared" si="37"/>
        <v>9.6107955888902055</v>
      </c>
      <c r="AT40" s="29" t="s">
        <v>97</v>
      </c>
      <c r="AU40" s="25"/>
    </row>
    <row r="41" spans="2:47" x14ac:dyDescent="0.2">
      <c r="E41" s="10"/>
      <c r="K41" s="183"/>
      <c r="L41" s="79"/>
      <c r="M41" s="79"/>
      <c r="N41" s="79"/>
      <c r="O41" s="79"/>
      <c r="P41" s="79"/>
      <c r="Q41" s="184"/>
      <c r="R41"/>
      <c r="S41" s="25"/>
      <c r="T41" s="25"/>
      <c r="U41" s="26"/>
      <c r="V41" s="25"/>
      <c r="W41" s="25"/>
      <c r="X41" s="25"/>
      <c r="Y41" s="26"/>
      <c r="Z41" s="26"/>
      <c r="AA41" s="25"/>
      <c r="AC41" s="25"/>
      <c r="AD41" s="25"/>
      <c r="AE41" s="26"/>
      <c r="AF41" s="25"/>
      <c r="AG41" s="25"/>
      <c r="AH41" s="25"/>
      <c r="AI41" s="26"/>
      <c r="AJ41" s="26"/>
      <c r="AK41" s="25"/>
      <c r="AM41" s="25"/>
      <c r="AN41" s="25"/>
      <c r="AO41" s="26"/>
      <c r="AP41" s="25"/>
      <c r="AQ41" s="25"/>
      <c r="AR41" s="25"/>
      <c r="AS41" s="26"/>
      <c r="AT41" s="26"/>
      <c r="AU41" s="25"/>
    </row>
    <row r="42" spans="2:47" x14ac:dyDescent="0.2">
      <c r="B42" s="84" t="s">
        <v>61</v>
      </c>
      <c r="C42" s="53"/>
      <c r="E42" s="10"/>
      <c r="K42" s="183"/>
      <c r="L42" s="79"/>
      <c r="M42" s="79"/>
      <c r="N42" s="79"/>
      <c r="O42" s="79"/>
      <c r="P42" s="79"/>
      <c r="Q42" s="184"/>
      <c r="R42"/>
      <c r="S42" s="25"/>
      <c r="T42" s="27" t="s">
        <v>47</v>
      </c>
      <c r="U42" s="28">
        <f>$U$16*H141/100</f>
        <v>1.3359309652142199</v>
      </c>
      <c r="V42" s="27" t="s">
        <v>84</v>
      </c>
      <c r="W42" s="28">
        <f>W26</f>
        <v>0</v>
      </c>
      <c r="X42" s="25" t="s">
        <v>2</v>
      </c>
      <c r="Y42" s="25"/>
      <c r="Z42" s="28">
        <f>U42-W42*U42/100</f>
        <v>1.3359309652142199</v>
      </c>
      <c r="AA42" s="25"/>
      <c r="AB42" s="58"/>
      <c r="AC42" s="25"/>
      <c r="AD42" s="27" t="s">
        <v>47</v>
      </c>
      <c r="AE42" s="28">
        <f>$AE$16*H141/100</f>
        <v>1.4673012657278093</v>
      </c>
      <c r="AF42" s="27" t="s">
        <v>84</v>
      </c>
      <c r="AG42" s="28">
        <f>AG26</f>
        <v>0</v>
      </c>
      <c r="AH42" s="25" t="s">
        <v>2</v>
      </c>
      <c r="AI42" s="25"/>
      <c r="AJ42" s="28">
        <f>AE42-AG42*AE42/100</f>
        <v>1.4673012657278093</v>
      </c>
      <c r="AK42" s="25"/>
      <c r="AM42" s="25"/>
      <c r="AN42" s="27" t="s">
        <v>47</v>
      </c>
      <c r="AO42" s="28">
        <f>$AO$16*H141/100</f>
        <v>1.6115900151032105</v>
      </c>
      <c r="AP42" s="27" t="s">
        <v>84</v>
      </c>
      <c r="AQ42" s="28">
        <f>AQ26</f>
        <v>0</v>
      </c>
      <c r="AR42" s="25" t="s">
        <v>2</v>
      </c>
      <c r="AS42" s="25"/>
      <c r="AT42" s="28">
        <f>AO42-AQ42*AO42/100</f>
        <v>1.6115900151032105</v>
      </c>
      <c r="AU42" s="25"/>
    </row>
    <row r="43" spans="2:47" x14ac:dyDescent="0.2">
      <c r="B43" t="s">
        <v>212</v>
      </c>
      <c r="D43">
        <v>2012</v>
      </c>
      <c r="E43">
        <v>2020</v>
      </c>
      <c r="K43" s="183"/>
      <c r="L43" s="79"/>
      <c r="M43" s="79"/>
      <c r="N43" s="79"/>
      <c r="O43" s="79"/>
      <c r="P43" s="79"/>
      <c r="Q43" s="184"/>
      <c r="R43"/>
      <c r="S43" s="25"/>
      <c r="T43" s="27" t="s">
        <v>49</v>
      </c>
      <c r="U43" s="28">
        <f>$U$16*H142/100</f>
        <v>0</v>
      </c>
      <c r="V43" s="27" t="s">
        <v>84</v>
      </c>
      <c r="W43" s="28">
        <f t="shared" ref="W43:W48" si="38">W27</f>
        <v>0</v>
      </c>
      <c r="X43" s="25" t="s">
        <v>2</v>
      </c>
      <c r="Y43" s="25"/>
      <c r="Z43" s="28">
        <f>U43-W43*U43/100</f>
        <v>0</v>
      </c>
      <c r="AA43" s="25"/>
      <c r="AB43" s="58"/>
      <c r="AC43" s="25"/>
      <c r="AD43" s="27" t="s">
        <v>49</v>
      </c>
      <c r="AE43" s="28">
        <f>$AE$16*H142/100</f>
        <v>0</v>
      </c>
      <c r="AF43" s="27" t="s">
        <v>84</v>
      </c>
      <c r="AG43" s="28">
        <f t="shared" ref="AG43:AG48" si="39">AG27</f>
        <v>0</v>
      </c>
      <c r="AH43" s="25" t="s">
        <v>2</v>
      </c>
      <c r="AI43" s="25"/>
      <c r="AJ43" s="28">
        <f>AE43-AG43*AE43/100</f>
        <v>0</v>
      </c>
      <c r="AK43" s="25"/>
      <c r="AM43" s="25"/>
      <c r="AN43" s="27" t="s">
        <v>49</v>
      </c>
      <c r="AO43" s="28">
        <f t="shared" ref="AO43" si="40">$AO$16*H142/100</f>
        <v>0</v>
      </c>
      <c r="AP43" s="27" t="s">
        <v>84</v>
      </c>
      <c r="AQ43" s="28">
        <f t="shared" ref="AQ43:AQ48" si="41">AQ27</f>
        <v>0</v>
      </c>
      <c r="AR43" s="25" t="s">
        <v>2</v>
      </c>
      <c r="AS43" s="25"/>
      <c r="AT43" s="28">
        <f>AO43-AQ43*AO43/100</f>
        <v>0</v>
      </c>
      <c r="AU43" s="25"/>
    </row>
    <row r="44" spans="2:47" x14ac:dyDescent="0.2">
      <c r="C44" t="s">
        <v>62</v>
      </c>
      <c r="D44" s="10">
        <f>'option 2 single calculation met'!D44</f>
        <v>7.1411729039646969</v>
      </c>
      <c r="E44" s="34">
        <f>'option 2 single calculation met'!E44</f>
        <v>10.269021536627166</v>
      </c>
      <c r="K44" s="178">
        <v>100</v>
      </c>
      <c r="L44" s="79" t="s">
        <v>76</v>
      </c>
      <c r="M44" s="79"/>
      <c r="N44" s="79"/>
      <c r="O44" s="79"/>
      <c r="P44" s="79"/>
      <c r="Q44" s="184"/>
      <c r="R44"/>
      <c r="S44" s="25"/>
      <c r="T44" s="27" t="s">
        <v>121</v>
      </c>
      <c r="U44" s="28">
        <f>$U$16*H144/100</f>
        <v>1.0099195535790792E-2</v>
      </c>
      <c r="V44" s="27" t="s">
        <v>84</v>
      </c>
      <c r="W44" s="28">
        <f t="shared" si="38"/>
        <v>0</v>
      </c>
      <c r="X44" s="25" t="s">
        <v>2</v>
      </c>
      <c r="Y44" s="25"/>
      <c r="Z44" s="28">
        <f t="shared" ref="Z44:Z47" si="42">U44-W44*U44/100</f>
        <v>1.0099195535790792E-2</v>
      </c>
      <c r="AA44" s="25"/>
      <c r="AB44" s="58"/>
      <c r="AC44" s="25"/>
      <c r="AD44" s="27" t="s">
        <v>121</v>
      </c>
      <c r="AE44" s="28">
        <f>$AE$16*H144/100</f>
        <v>1.1092311487908567E-2</v>
      </c>
      <c r="AF44" s="27" t="s">
        <v>84</v>
      </c>
      <c r="AG44" s="28">
        <f t="shared" si="39"/>
        <v>0</v>
      </c>
      <c r="AH44" s="25" t="s">
        <v>2</v>
      </c>
      <c r="AI44" s="25"/>
      <c r="AJ44" s="28">
        <f t="shared" ref="AJ44:AJ47" si="43">AE44-AG44*AE44/100</f>
        <v>1.1092311487908567E-2</v>
      </c>
      <c r="AK44" s="25"/>
      <c r="AM44" s="25"/>
      <c r="AN44" s="27" t="s">
        <v>121</v>
      </c>
      <c r="AO44" s="28">
        <f>$AO$16*H144/100</f>
        <v>1.2183086633855738E-2</v>
      </c>
      <c r="AP44" s="27" t="s">
        <v>84</v>
      </c>
      <c r="AQ44" s="28">
        <f t="shared" si="41"/>
        <v>0</v>
      </c>
      <c r="AR44" s="25" t="s">
        <v>2</v>
      </c>
      <c r="AS44" s="25"/>
      <c r="AT44" s="28">
        <f t="shared" ref="AT44:AT47" si="44">AO44-AQ44*AO44/100</f>
        <v>1.2183086633855738E-2</v>
      </c>
      <c r="AU44" s="25"/>
    </row>
    <row r="45" spans="2:47" x14ac:dyDescent="0.2">
      <c r="C45" t="s">
        <v>63</v>
      </c>
      <c r="D45" s="10">
        <f>'option 2 single calculation met'!D45</f>
        <v>52.817731667059654</v>
      </c>
      <c r="E45" s="34">
        <f>'option 2 single calculation met'!E45</f>
        <v>75.952008346374527</v>
      </c>
      <c r="K45" s="178">
        <f>M37</f>
        <v>84.589204090433412</v>
      </c>
      <c r="L45" s="79" t="s">
        <v>113</v>
      </c>
      <c r="M45" s="79"/>
      <c r="N45" s="79"/>
      <c r="O45" s="79"/>
      <c r="P45" s="79"/>
      <c r="Q45" s="184"/>
      <c r="R45"/>
      <c r="S45" s="25"/>
      <c r="T45" s="27" t="s">
        <v>122</v>
      </c>
      <c r="U45" s="28">
        <f>$U$16*H145/100</f>
        <v>1.8399114039007679E-3</v>
      </c>
      <c r="V45" s="27" t="s">
        <v>84</v>
      </c>
      <c r="W45" s="28">
        <f t="shared" si="38"/>
        <v>0</v>
      </c>
      <c r="X45" s="25" t="s">
        <v>2</v>
      </c>
      <c r="Y45" s="25"/>
      <c r="Z45" s="28">
        <f t="shared" si="42"/>
        <v>1.8399114039007679E-3</v>
      </c>
      <c r="AA45" s="25"/>
      <c r="AC45" s="25"/>
      <c r="AD45" s="27" t="s">
        <v>122</v>
      </c>
      <c r="AE45" s="28">
        <f>$AE$16*H145/100</f>
        <v>2.0208411976869803E-3</v>
      </c>
      <c r="AF45" s="27" t="s">
        <v>84</v>
      </c>
      <c r="AG45" s="28">
        <f t="shared" si="39"/>
        <v>0</v>
      </c>
      <c r="AH45" s="25" t="s">
        <v>2</v>
      </c>
      <c r="AI45" s="25"/>
      <c r="AJ45" s="28">
        <f t="shared" si="43"/>
        <v>2.0208411976869803E-3</v>
      </c>
      <c r="AK45" s="25"/>
      <c r="AM45" s="25"/>
      <c r="AN45" s="27" t="s">
        <v>122</v>
      </c>
      <c r="AO45" s="28">
        <f>$AO$16*H145/100</f>
        <v>2.2195629298296365E-3</v>
      </c>
      <c r="AP45" s="27" t="s">
        <v>84</v>
      </c>
      <c r="AQ45" s="28">
        <f t="shared" si="41"/>
        <v>0</v>
      </c>
      <c r="AR45" s="25" t="s">
        <v>2</v>
      </c>
      <c r="AS45" s="25"/>
      <c r="AT45" s="28">
        <f t="shared" si="44"/>
        <v>2.2195629298296365E-3</v>
      </c>
      <c r="AU45" s="25"/>
    </row>
    <row r="46" spans="2:47" x14ac:dyDescent="0.2">
      <c r="C46" s="37" t="s">
        <v>64</v>
      </c>
      <c r="D46" s="38">
        <f>'option 2 single calculation met'!D46</f>
        <v>24.522518273991984</v>
      </c>
      <c r="E46" s="38">
        <f>'option 2 single calculation met'!E46</f>
        <v>35.263432446531034</v>
      </c>
      <c r="K46" s="178">
        <f>M38</f>
        <v>15.410795909566593</v>
      </c>
      <c r="L46" s="79" t="s">
        <v>206</v>
      </c>
      <c r="M46" s="79"/>
      <c r="N46" s="79"/>
      <c r="O46" s="79"/>
      <c r="P46" s="79"/>
      <c r="Q46" s="184"/>
      <c r="R46"/>
      <c r="S46" s="25"/>
      <c r="T46" s="27" t="s">
        <v>51</v>
      </c>
      <c r="U46" s="28">
        <f>$U$16*H146/100</f>
        <v>0.15051873476122818</v>
      </c>
      <c r="V46" s="27" t="s">
        <v>84</v>
      </c>
      <c r="W46" s="28">
        <f t="shared" si="38"/>
        <v>0</v>
      </c>
      <c r="X46" s="25" t="s">
        <v>2</v>
      </c>
      <c r="Y46" s="25"/>
      <c r="Z46" s="28">
        <f t="shared" si="42"/>
        <v>0.15051873476122818</v>
      </c>
      <c r="AA46" s="25"/>
      <c r="AB46" s="58"/>
      <c r="AC46" s="25"/>
      <c r="AD46" s="27" t="s">
        <v>51</v>
      </c>
      <c r="AE46" s="28">
        <f>$AE$16*H146/100</f>
        <v>0.16532016682125761</v>
      </c>
      <c r="AF46" s="27" t="s">
        <v>84</v>
      </c>
      <c r="AG46" s="28">
        <f t="shared" si="39"/>
        <v>0</v>
      </c>
      <c r="AH46" s="25" t="s">
        <v>2</v>
      </c>
      <c r="AI46" s="25"/>
      <c r="AJ46" s="28">
        <f t="shared" si="43"/>
        <v>0.16532016682125761</v>
      </c>
      <c r="AK46" s="25"/>
      <c r="AM46" s="25"/>
      <c r="AN46" s="27" t="s">
        <v>51</v>
      </c>
      <c r="AO46" s="28">
        <f>$AO$16*H146/100</f>
        <v>0.1815771146439939</v>
      </c>
      <c r="AP46" s="27" t="s">
        <v>84</v>
      </c>
      <c r="AQ46" s="28">
        <f t="shared" si="41"/>
        <v>0</v>
      </c>
      <c r="AR46" s="25" t="s">
        <v>2</v>
      </c>
      <c r="AS46" s="25"/>
      <c r="AT46" s="28">
        <f t="shared" si="44"/>
        <v>0.1815771146439939</v>
      </c>
      <c r="AU46" s="25"/>
    </row>
    <row r="47" spans="2:47" x14ac:dyDescent="0.2">
      <c r="C47" t="s">
        <v>113</v>
      </c>
      <c r="D47" s="191">
        <f>'option 3.2 modernised pack targ'!D47</f>
        <v>25.739828255680099</v>
      </c>
      <c r="E47" s="57">
        <f>K50</f>
        <v>37.013926740229806</v>
      </c>
      <c r="K47" s="178">
        <f>E46</f>
        <v>35.263432446531034</v>
      </c>
      <c r="L47" s="79" t="s">
        <v>201</v>
      </c>
      <c r="M47" s="79"/>
      <c r="N47" s="79"/>
      <c r="O47" s="79"/>
      <c r="P47" s="79"/>
      <c r="Q47" s="184"/>
      <c r="R47"/>
      <c r="S47" s="25"/>
      <c r="T47" s="27" t="s">
        <v>109</v>
      </c>
      <c r="U47" s="28">
        <f>$U$16*H147/100</f>
        <v>0.23914279374255001</v>
      </c>
      <c r="V47" s="27" t="s">
        <v>84</v>
      </c>
      <c r="W47" s="28">
        <f t="shared" si="38"/>
        <v>0</v>
      </c>
      <c r="X47" s="25" t="s">
        <v>2</v>
      </c>
      <c r="Y47" s="25"/>
      <c r="Z47" s="28">
        <f t="shared" si="42"/>
        <v>0.23914279374255001</v>
      </c>
      <c r="AA47" s="25"/>
      <c r="AB47" s="58"/>
      <c r="AC47" s="25"/>
      <c r="AD47" s="27" t="s">
        <v>109</v>
      </c>
      <c r="AE47" s="28">
        <f>$AE$16*H147/100</f>
        <v>0.2626591740778022</v>
      </c>
      <c r="AF47" s="27" t="s">
        <v>84</v>
      </c>
      <c r="AG47" s="28">
        <f t="shared" si="39"/>
        <v>0</v>
      </c>
      <c r="AH47" s="25" t="s">
        <v>2</v>
      </c>
      <c r="AI47" s="25"/>
      <c r="AJ47" s="28">
        <f t="shared" si="43"/>
        <v>0.2626591740778022</v>
      </c>
      <c r="AK47" s="25"/>
      <c r="AM47" s="25"/>
      <c r="AN47" s="27" t="s">
        <v>109</v>
      </c>
      <c r="AO47" s="28">
        <f t="shared" ref="AO47:AO48" si="45">$AO$16*H147/100</f>
        <v>0.28848806458916104</v>
      </c>
      <c r="AP47" s="27" t="s">
        <v>84</v>
      </c>
      <c r="AQ47" s="28">
        <f t="shared" si="41"/>
        <v>0</v>
      </c>
      <c r="AR47" s="25" t="s">
        <v>2</v>
      </c>
      <c r="AS47" s="25"/>
      <c r="AT47" s="28">
        <f t="shared" si="44"/>
        <v>0.28848806458916104</v>
      </c>
      <c r="AU47" s="25"/>
    </row>
    <row r="48" spans="2:47" x14ac:dyDescent="0.2">
      <c r="C48" t="s">
        <v>114</v>
      </c>
      <c r="D48" s="191">
        <f>'option 3.2 modernised pack targ'!D48</f>
        <v>17.840755496352696</v>
      </c>
      <c r="E48" s="57">
        <f>K51</f>
        <v>25.655043630162051</v>
      </c>
      <c r="K48" s="178">
        <f>K47*M33/100</f>
        <v>31.309786032176497</v>
      </c>
      <c r="L48" s="79" t="s">
        <v>202</v>
      </c>
      <c r="M48" s="79"/>
      <c r="N48" s="79"/>
      <c r="O48" s="79"/>
      <c r="P48" s="79"/>
      <c r="Q48" s="184"/>
      <c r="R48"/>
      <c r="S48" s="25"/>
      <c r="T48" s="27" t="s">
        <v>83</v>
      </c>
      <c r="U48" s="28">
        <f>$U$16*H148/100</f>
        <v>1.4131052125495168E-2</v>
      </c>
      <c r="V48" s="27" t="s">
        <v>84</v>
      </c>
      <c r="W48" s="28">
        <f t="shared" si="38"/>
        <v>0</v>
      </c>
      <c r="X48" s="25" t="s">
        <v>2</v>
      </c>
      <c r="Y48" s="25"/>
      <c r="Z48" s="28">
        <f>U48-W47*U48/100</f>
        <v>1.4131052125495168E-2</v>
      </c>
      <c r="AA48" s="25"/>
      <c r="AB48" s="58"/>
      <c r="AC48" s="25"/>
      <c r="AD48" s="27" t="s">
        <v>83</v>
      </c>
      <c r="AE48" s="28">
        <f>$AE$16*H148/100</f>
        <v>1.5520645310051541E-2</v>
      </c>
      <c r="AF48" s="27" t="s">
        <v>84</v>
      </c>
      <c r="AG48" s="28">
        <f t="shared" si="39"/>
        <v>0</v>
      </c>
      <c r="AH48" s="25" t="s">
        <v>2</v>
      </c>
      <c r="AI48" s="25"/>
      <c r="AJ48" s="28">
        <f>AE48-AG47*AE48/100</f>
        <v>1.5520645310051541E-2</v>
      </c>
      <c r="AK48" s="25"/>
      <c r="AM48" s="25"/>
      <c r="AN48" s="27" t="s">
        <v>83</v>
      </c>
      <c r="AO48" s="28">
        <f t="shared" si="45"/>
        <v>1.7046885730879986E-2</v>
      </c>
      <c r="AP48" s="27" t="s">
        <v>84</v>
      </c>
      <c r="AQ48" s="28">
        <f t="shared" si="41"/>
        <v>0</v>
      </c>
      <c r="AR48" s="25" t="s">
        <v>2</v>
      </c>
      <c r="AS48" s="25"/>
      <c r="AT48" s="28">
        <f>AO48-AQ47*AO48/100</f>
        <v>1.7046885730879986E-2</v>
      </c>
      <c r="AU48" s="25"/>
    </row>
    <row r="49" spans="2:47" x14ac:dyDescent="0.2">
      <c r="C49" t="s">
        <v>65</v>
      </c>
      <c r="D49" s="10">
        <f>'option 2 single calculation met'!D47</f>
        <v>40.509313841075219</v>
      </c>
      <c r="E49" s="34">
        <f>'option 2 single calculation met'!E47</f>
        <v>58.252477829942606</v>
      </c>
      <c r="K49" s="178">
        <f>K47*M34/100</f>
        <v>3.9536464143545378</v>
      </c>
      <c r="L49" s="79" t="s">
        <v>203</v>
      </c>
      <c r="M49" s="79"/>
      <c r="N49" s="79"/>
      <c r="O49" s="79"/>
      <c r="P49" s="79"/>
      <c r="Q49" s="184"/>
      <c r="R49"/>
      <c r="S49" s="25"/>
      <c r="T49" s="25"/>
      <c r="U49" s="26"/>
      <c r="V49" s="25"/>
      <c r="W49" s="25"/>
      <c r="X49" s="25"/>
      <c r="Y49" s="26"/>
      <c r="Z49" s="26"/>
      <c r="AA49" s="25"/>
      <c r="AB49" s="58"/>
      <c r="AC49" s="25"/>
      <c r="AD49" s="25"/>
      <c r="AE49" s="26"/>
      <c r="AF49" s="25"/>
      <c r="AG49" s="25"/>
      <c r="AH49" s="25"/>
      <c r="AI49" s="26"/>
      <c r="AJ49" s="28"/>
      <c r="AK49" s="25"/>
      <c r="AM49" s="25"/>
      <c r="AN49" s="25"/>
      <c r="AO49" s="26"/>
      <c r="AP49" s="25"/>
      <c r="AQ49" s="25"/>
      <c r="AR49" s="25"/>
      <c r="AS49" s="26"/>
      <c r="AT49" s="28"/>
      <c r="AU49" s="25"/>
    </row>
    <row r="50" spans="2:47" x14ac:dyDescent="0.2">
      <c r="E50" s="10"/>
      <c r="K50" s="178">
        <f>K48/K45*100</f>
        <v>37.013926740229806</v>
      </c>
      <c r="L50" s="79" t="s">
        <v>2</v>
      </c>
      <c r="M50" s="79" t="s">
        <v>207</v>
      </c>
      <c r="N50" s="79"/>
      <c r="O50" s="79"/>
      <c r="P50" s="79"/>
      <c r="Q50" s="184"/>
      <c r="R50"/>
      <c r="S50" s="25"/>
      <c r="T50" s="27" t="s">
        <v>91</v>
      </c>
      <c r="U50" s="28">
        <f>U12-U16</f>
        <v>22.009433535783703</v>
      </c>
      <c r="V50" s="27" t="s">
        <v>84</v>
      </c>
      <c r="W50" s="28">
        <v>0</v>
      </c>
      <c r="X50" s="25" t="s">
        <v>2</v>
      </c>
      <c r="Y50" s="26"/>
      <c r="Z50" s="28">
        <f t="shared" ref="Z50" si="46">U50-W50*U50/100</f>
        <v>22.009433535783703</v>
      </c>
      <c r="AA50" s="25"/>
      <c r="AB50" s="58"/>
      <c r="AC50" s="25"/>
      <c r="AD50" s="27" t="s">
        <v>91</v>
      </c>
      <c r="AE50" s="28">
        <f>AE12-AE16</f>
        <v>24.173756373578051</v>
      </c>
      <c r="AF50" s="27" t="s">
        <v>84</v>
      </c>
      <c r="AG50" s="28">
        <v>0</v>
      </c>
      <c r="AH50" s="25" t="s">
        <v>2</v>
      </c>
      <c r="AI50" s="26"/>
      <c r="AJ50" s="28">
        <f t="shared" ref="AJ50" si="47">AE50-AG50*AE50/100</f>
        <v>24.173756373578051</v>
      </c>
      <c r="AK50" s="25"/>
      <c r="AM50" s="25"/>
      <c r="AN50" s="27" t="s">
        <v>91</v>
      </c>
      <c r="AO50" s="28">
        <f>AO12-AO16</f>
        <v>26.550910374817935</v>
      </c>
      <c r="AP50" s="27" t="s">
        <v>84</v>
      </c>
      <c r="AQ50" s="28">
        <v>0</v>
      </c>
      <c r="AR50" s="25" t="s">
        <v>2</v>
      </c>
      <c r="AS50" s="26"/>
      <c r="AT50" s="28">
        <f t="shared" ref="AT50" si="48">AO50-AQ50*AO50/100</f>
        <v>26.550910374817935</v>
      </c>
      <c r="AU50" s="25"/>
    </row>
    <row r="51" spans="2:47" x14ac:dyDescent="0.2">
      <c r="B51" t="s">
        <v>23</v>
      </c>
      <c r="E51" s="10"/>
      <c r="F51" t="s">
        <v>24</v>
      </c>
      <c r="G51" t="s">
        <v>66</v>
      </c>
      <c r="K51" s="178">
        <f>K49/K46*100</f>
        <v>25.655043630162051</v>
      </c>
      <c r="L51" s="79" t="s">
        <v>2</v>
      </c>
      <c r="M51" s="79" t="s">
        <v>208</v>
      </c>
      <c r="N51" s="79"/>
      <c r="O51" s="79"/>
      <c r="P51" s="79"/>
      <c r="Q51" s="184"/>
      <c r="R51"/>
      <c r="S51" s="25"/>
      <c r="T51" s="27"/>
      <c r="U51" s="26"/>
      <c r="V51" s="27"/>
      <c r="W51" s="28"/>
      <c r="X51" s="25"/>
      <c r="Y51" s="26"/>
      <c r="Z51" s="26"/>
      <c r="AA51" s="25"/>
      <c r="AB51" s="58"/>
      <c r="AC51" s="25"/>
      <c r="AD51" s="27"/>
      <c r="AE51" s="26"/>
      <c r="AF51" s="27"/>
      <c r="AG51" s="28"/>
      <c r="AH51" s="25"/>
      <c r="AI51" s="26"/>
      <c r="AJ51" s="26"/>
      <c r="AK51" s="25"/>
      <c r="AM51" s="25"/>
      <c r="AN51" s="27"/>
      <c r="AO51" s="26"/>
      <c r="AP51" s="27"/>
      <c r="AQ51" s="28"/>
      <c r="AR51" s="25"/>
      <c r="AS51" s="26"/>
      <c r="AT51" s="26"/>
      <c r="AU51" s="25"/>
    </row>
    <row r="52" spans="2:47" x14ac:dyDescent="0.2">
      <c r="C52" t="str">
        <f>C44</f>
        <v>plastic</v>
      </c>
      <c r="D52" s="10">
        <f t="shared" ref="D52:E54" si="49">100-D44</f>
        <v>92.858827096035299</v>
      </c>
      <c r="E52" s="10">
        <f t="shared" si="49"/>
        <v>89.730978463372836</v>
      </c>
      <c r="F52" s="10">
        <f>D52-E52</f>
        <v>3.127848632662463</v>
      </c>
      <c r="G52" s="146">
        <f>F52/D52*100</f>
        <v>3.3683912778993195</v>
      </c>
      <c r="H52" s="1" t="s">
        <v>2</v>
      </c>
      <c r="K52" s="185"/>
      <c r="L52" s="181"/>
      <c r="M52" s="181"/>
      <c r="N52" s="181"/>
      <c r="O52" s="181"/>
      <c r="P52" s="181"/>
      <c r="Q52" s="186"/>
      <c r="R52"/>
      <c r="S52" s="25"/>
      <c r="T52" s="25"/>
      <c r="U52" s="26" t="s">
        <v>143</v>
      </c>
      <c r="V52" s="27" t="s">
        <v>234</v>
      </c>
      <c r="W52" s="25"/>
      <c r="X52" s="42"/>
      <c r="Y52" s="26"/>
      <c r="Z52" s="26" t="s">
        <v>144</v>
      </c>
      <c r="AA52" s="25"/>
      <c r="AB52" s="58"/>
      <c r="AC52" s="25"/>
      <c r="AD52" s="25"/>
      <c r="AE52" s="26" t="s">
        <v>143</v>
      </c>
      <c r="AF52" s="27" t="s">
        <v>234</v>
      </c>
      <c r="AG52" s="25"/>
      <c r="AH52" s="42"/>
      <c r="AI52" s="26"/>
      <c r="AJ52" s="26" t="s">
        <v>144</v>
      </c>
      <c r="AK52" s="25"/>
      <c r="AM52" s="25"/>
      <c r="AN52" s="25"/>
      <c r="AO52" s="26" t="s">
        <v>143</v>
      </c>
      <c r="AP52" s="27" t="s">
        <v>234</v>
      </c>
      <c r="AQ52" s="25"/>
      <c r="AR52" s="42"/>
      <c r="AS52" s="26"/>
      <c r="AT52" s="26" t="s">
        <v>144</v>
      </c>
      <c r="AU52" s="25"/>
    </row>
    <row r="53" spans="2:47" x14ac:dyDescent="0.2">
      <c r="C53" t="str">
        <f>C45</f>
        <v>glass</v>
      </c>
      <c r="D53" s="10">
        <f t="shared" si="49"/>
        <v>47.182268332940346</v>
      </c>
      <c r="E53" s="10">
        <f t="shared" si="49"/>
        <v>24.047991653625473</v>
      </c>
      <c r="F53" s="10">
        <f>D53-E53</f>
        <v>23.134276679314873</v>
      </c>
      <c r="G53" s="200">
        <f t="shared" ref="G53:G57" si="50">F53/D53*100</f>
        <v>49.031717839567399</v>
      </c>
      <c r="H53" s="1" t="s">
        <v>2</v>
      </c>
      <c r="R53"/>
      <c r="S53" s="25"/>
      <c r="T53" s="27" t="s">
        <v>42</v>
      </c>
      <c r="U53" s="28">
        <f t="shared" ref="U53:U59" si="51">Y34</f>
        <v>8.2485966430658948</v>
      </c>
      <c r="V53" s="225">
        <f>O309</f>
        <v>0</v>
      </c>
      <c r="W53" s="28"/>
      <c r="X53" s="26"/>
      <c r="Y53" s="26"/>
      <c r="Z53" s="28">
        <f>U53*V53</f>
        <v>0</v>
      </c>
      <c r="AA53" s="25"/>
      <c r="AB53" s="58"/>
      <c r="AC53" s="25"/>
      <c r="AD53" s="27" t="s">
        <v>42</v>
      </c>
      <c r="AE53" s="28">
        <f t="shared" ref="AE53:AE59" si="52">AI34</f>
        <v>8.4317990471584601</v>
      </c>
      <c r="AF53" s="225">
        <f>P309</f>
        <v>-1.1707738385384444E-2</v>
      </c>
      <c r="AG53" s="28"/>
      <c r="AH53" s="26"/>
      <c r="AI53" s="26"/>
      <c r="AJ53" s="28">
        <f>AE53*AF53</f>
        <v>-9.8717297362265075E-2</v>
      </c>
      <c r="AK53" s="25"/>
      <c r="AM53" s="25"/>
      <c r="AN53" s="27" t="s">
        <v>42</v>
      </c>
      <c r="AO53" s="28">
        <f t="shared" ref="AO53:AO59" si="53">AS34</f>
        <v>8.5539339832201744</v>
      </c>
      <c r="AP53" s="225">
        <f>Q309</f>
        <v>-1.897840370057971E-2</v>
      </c>
      <c r="AQ53" s="28"/>
      <c r="AR53" s="26"/>
      <c r="AS53" s="26"/>
      <c r="AT53" s="28">
        <f>AO53*AP53</f>
        <v>-0.16234001236166029</v>
      </c>
      <c r="AU53" s="25"/>
    </row>
    <row r="54" spans="2:47" x14ac:dyDescent="0.2">
      <c r="C54" s="37" t="str">
        <f>C46</f>
        <v>metals</v>
      </c>
      <c r="D54" s="38">
        <f t="shared" si="49"/>
        <v>75.477481726008023</v>
      </c>
      <c r="E54" s="38">
        <f t="shared" si="49"/>
        <v>64.736567553468973</v>
      </c>
      <c r="F54" s="38">
        <f>D54-E54</f>
        <v>10.74091417253905</v>
      </c>
      <c r="G54" s="201">
        <f t="shared" si="50"/>
        <v>14.230620745310249</v>
      </c>
      <c r="H54" s="39" t="s">
        <v>2</v>
      </c>
      <c r="R54"/>
      <c r="S54" s="25"/>
      <c r="T54" s="27" t="s">
        <v>43</v>
      </c>
      <c r="U54" s="28">
        <f t="shared" si="51"/>
        <v>0.15525943266067338</v>
      </c>
      <c r="V54" s="225">
        <f t="shared" ref="V54:V55" si="54">O310</f>
        <v>0</v>
      </c>
      <c r="W54" s="28"/>
      <c r="X54" s="26"/>
      <c r="Y54" s="26"/>
      <c r="Z54" s="28">
        <f t="shared" ref="Z54:Z66" si="55">U54*V54</f>
        <v>0</v>
      </c>
      <c r="AA54" s="25"/>
      <c r="AB54" s="58"/>
      <c r="AC54" s="25"/>
      <c r="AD54" s="27" t="s">
        <v>43</v>
      </c>
      <c r="AE54" s="28">
        <f t="shared" si="52"/>
        <v>0.158707764850052</v>
      </c>
      <c r="AF54" s="225">
        <f t="shared" ref="AF54:AF55" si="56">P310</f>
        <v>-1.1707738385384444E-2</v>
      </c>
      <c r="AG54" s="28"/>
      <c r="AH54" s="26"/>
      <c r="AI54" s="26"/>
      <c r="AJ54" s="28">
        <f t="shared" ref="AJ54:AJ66" si="57">AE54*AF54</f>
        <v>-1.8581089905935217E-3</v>
      </c>
      <c r="AK54" s="25"/>
      <c r="AM54" s="25"/>
      <c r="AN54" s="27" t="s">
        <v>43</v>
      </c>
      <c r="AO54" s="28">
        <f t="shared" si="53"/>
        <v>0.16100665297630451</v>
      </c>
      <c r="AP54" s="225">
        <f>Q310</f>
        <v>-1.897840370057971E-2</v>
      </c>
      <c r="AQ54" s="28"/>
      <c r="AR54" s="26"/>
      <c r="AS54" s="26"/>
      <c r="AT54" s="28">
        <f t="shared" ref="AT54:AT66" si="58">AO54*AP54</f>
        <v>-3.0556492586634506E-3</v>
      </c>
      <c r="AU54" s="25"/>
    </row>
    <row r="55" spans="2:47" x14ac:dyDescent="0.2">
      <c r="C55" t="s">
        <v>113</v>
      </c>
      <c r="D55" s="191">
        <f>100-D47</f>
        <v>74.260171744319905</v>
      </c>
      <c r="E55" s="10">
        <f>100-E47</f>
        <v>62.986073259770194</v>
      </c>
      <c r="F55" s="10">
        <f>D55-E55</f>
        <v>11.274098484549711</v>
      </c>
      <c r="G55" s="200">
        <f>F55/D55*100</f>
        <v>15.181891207263545</v>
      </c>
      <c r="H55" s="1" t="s">
        <v>2</v>
      </c>
      <c r="R55"/>
      <c r="S55" s="25"/>
      <c r="T55" s="27" t="s">
        <v>117</v>
      </c>
      <c r="U55" s="28">
        <f t="shared" si="51"/>
        <v>0.22339957468146607</v>
      </c>
      <c r="V55" s="225">
        <f t="shared" si="54"/>
        <v>0</v>
      </c>
      <c r="W55" s="28"/>
      <c r="X55" s="26"/>
      <c r="Y55" s="26"/>
      <c r="Z55" s="28">
        <f t="shared" si="55"/>
        <v>0</v>
      </c>
      <c r="AA55" s="25"/>
      <c r="AB55" s="58"/>
      <c r="AC55" s="25"/>
      <c r="AD55" s="27" t="s">
        <v>117</v>
      </c>
      <c r="AE55" s="28">
        <f t="shared" si="52"/>
        <v>0.22836130828609155</v>
      </c>
      <c r="AF55" s="225">
        <f t="shared" si="56"/>
        <v>-1.1707738385384444E-2</v>
      </c>
      <c r="AG55" s="28"/>
      <c r="AH55" s="26"/>
      <c r="AI55" s="26"/>
      <c r="AJ55" s="28">
        <f t="shared" si="57"/>
        <v>-2.6735944547576847E-3</v>
      </c>
      <c r="AK55" s="25"/>
      <c r="AM55" s="25"/>
      <c r="AN55" s="27" t="s">
        <v>117</v>
      </c>
      <c r="AO55" s="28">
        <f t="shared" si="53"/>
        <v>0.23166913068917516</v>
      </c>
      <c r="AP55" s="225">
        <f>Q311</f>
        <v>-1.897840370057971E-2</v>
      </c>
      <c r="AQ55" s="28"/>
      <c r="AR55" s="26"/>
      <c r="AS55" s="26"/>
      <c r="AT55" s="28">
        <f t="shared" si="58"/>
        <v>-4.3967102871815267E-3</v>
      </c>
      <c r="AU55" s="25"/>
    </row>
    <row r="56" spans="2:47" x14ac:dyDescent="0.2">
      <c r="C56" t="s">
        <v>114</v>
      </c>
      <c r="D56" s="191">
        <f t="shared" ref="D56:E56" si="59">100-D48</f>
        <v>82.159244503647301</v>
      </c>
      <c r="E56" s="10">
        <f t="shared" si="59"/>
        <v>74.344956369837945</v>
      </c>
      <c r="F56" s="10">
        <f t="shared" ref="F56" si="60">D56-E56</f>
        <v>7.8142881338093559</v>
      </c>
      <c r="G56" s="200">
        <f t="shared" ref="G56" si="61">F56/D56*100</f>
        <v>9.5111489656680757</v>
      </c>
      <c r="H56" s="1" t="s">
        <v>2</v>
      </c>
      <c r="R56"/>
      <c r="S56" s="25"/>
      <c r="T56" s="27" t="s">
        <v>118</v>
      </c>
      <c r="U56" s="28">
        <f t="shared" si="51"/>
        <v>4.3420914045631989E-2</v>
      </c>
      <c r="V56" s="225">
        <f>O311</f>
        <v>0</v>
      </c>
      <c r="W56" s="28"/>
      <c r="X56" s="26"/>
      <c r="Y56" s="26"/>
      <c r="Z56" s="28">
        <f t="shared" si="55"/>
        <v>0</v>
      </c>
      <c r="AA56" s="25"/>
      <c r="AB56" s="58"/>
      <c r="AC56" s="25"/>
      <c r="AD56" s="27" t="s">
        <v>118</v>
      </c>
      <c r="AE56" s="28">
        <f t="shared" si="52"/>
        <v>4.4385298193054597E-2</v>
      </c>
      <c r="AF56" s="225">
        <f>P311</f>
        <v>-1.1707738385384444E-2</v>
      </c>
      <c r="AG56" s="28"/>
      <c r="AH56" s="26"/>
      <c r="AI56" s="26"/>
      <c r="AJ56" s="28">
        <f t="shared" si="57"/>
        <v>-5.1965145940156008E-4</v>
      </c>
      <c r="AK56" s="25"/>
      <c r="AM56" s="25"/>
      <c r="AN56" s="27" t="s">
        <v>118</v>
      </c>
      <c r="AO56" s="28">
        <f t="shared" si="53"/>
        <v>4.5028220958003122E-2</v>
      </c>
      <c r="AP56" s="225">
        <f>Q311</f>
        <v>-1.897840370057971E-2</v>
      </c>
      <c r="AQ56" s="28"/>
      <c r="AR56" s="26"/>
      <c r="AS56" s="26"/>
      <c r="AT56" s="28">
        <f t="shared" si="58"/>
        <v>-8.5456375525988732E-4</v>
      </c>
      <c r="AU56" s="25"/>
    </row>
    <row r="57" spans="2:47" x14ac:dyDescent="0.2">
      <c r="C57" t="str">
        <f>C49</f>
        <v>paper</v>
      </c>
      <c r="D57" s="10">
        <f>100-D49</f>
        <v>59.490686158924781</v>
      </c>
      <c r="E57" s="10">
        <f>100-E49</f>
        <v>41.747522170057394</v>
      </c>
      <c r="F57" s="10">
        <f>D57-E57</f>
        <v>17.743163988867387</v>
      </c>
      <c r="G57" s="148">
        <f t="shared" si="50"/>
        <v>29.825112357029958</v>
      </c>
      <c r="H57" s="1" t="s">
        <v>2</v>
      </c>
      <c r="R57"/>
      <c r="S57" s="25"/>
      <c r="T57" s="27" t="s">
        <v>45</v>
      </c>
      <c r="U57" s="28">
        <f t="shared" si="51"/>
        <v>9.2248300981567564</v>
      </c>
      <c r="V57" s="225">
        <f>O312</f>
        <v>0</v>
      </c>
      <c r="W57" s="28"/>
      <c r="X57" s="26"/>
      <c r="Y57" s="26"/>
      <c r="Z57" s="28">
        <f t="shared" si="55"/>
        <v>0</v>
      </c>
      <c r="AA57" s="25"/>
      <c r="AB57" s="58"/>
      <c r="AC57" s="25"/>
      <c r="AD57" s="27" t="s">
        <v>45</v>
      </c>
      <c r="AE57" s="28">
        <f t="shared" si="52"/>
        <v>9.4297147742365954</v>
      </c>
      <c r="AF57" s="225">
        <f t="shared" ref="AF57" si="62">P312</f>
        <v>-1.1707738385384444E-2</v>
      </c>
      <c r="AG57" s="28"/>
      <c r="AH57" s="26"/>
      <c r="AI57" s="26"/>
      <c r="AJ57" s="28">
        <f t="shared" si="57"/>
        <v>-0.11040063362555659</v>
      </c>
      <c r="AK57" s="25"/>
      <c r="AM57" s="25"/>
      <c r="AN57" s="27" t="s">
        <v>45</v>
      </c>
      <c r="AO57" s="28">
        <f t="shared" si="53"/>
        <v>9.5663045582898256</v>
      </c>
      <c r="AP57" s="225">
        <f>Q312</f>
        <v>-1.897840370057971E-2</v>
      </c>
      <c r="AQ57" s="28"/>
      <c r="AR57" s="26"/>
      <c r="AS57" s="26"/>
      <c r="AT57" s="28">
        <f t="shared" si="58"/>
        <v>-0.18155318982992016</v>
      </c>
      <c r="AU57" s="25"/>
    </row>
    <row r="58" spans="2:47" x14ac:dyDescent="0.2">
      <c r="E58" s="10"/>
      <c r="R58"/>
      <c r="S58" s="25"/>
      <c r="T58" s="27" t="s">
        <v>108</v>
      </c>
      <c r="U58" s="28">
        <f t="shared" si="51"/>
        <v>5.2626632262310402E-2</v>
      </c>
      <c r="V58" s="225">
        <f t="shared" ref="V58" si="63">O313</f>
        <v>0</v>
      </c>
      <c r="W58" s="28"/>
      <c r="X58" s="25"/>
      <c r="Y58" s="26"/>
      <c r="Z58" s="28">
        <f t="shared" si="55"/>
        <v>0</v>
      </c>
      <c r="AA58" s="25"/>
      <c r="AB58" s="45"/>
      <c r="AC58" s="25"/>
      <c r="AD58" s="27" t="s">
        <v>108</v>
      </c>
      <c r="AE58" s="28">
        <f t="shared" si="52"/>
        <v>5.3795476608440085E-2</v>
      </c>
      <c r="AF58" s="225">
        <v>0</v>
      </c>
      <c r="AG58" s="28"/>
      <c r="AH58" s="25"/>
      <c r="AI58" s="26"/>
      <c r="AJ58" s="28">
        <f t="shared" si="57"/>
        <v>0</v>
      </c>
      <c r="AK58" s="25"/>
      <c r="AM58" s="25"/>
      <c r="AN58" s="27" t="s">
        <v>108</v>
      </c>
      <c r="AO58" s="28">
        <f t="shared" si="53"/>
        <v>5.4574706172526355E-2</v>
      </c>
      <c r="AP58" s="225">
        <f>Q313</f>
        <v>-1.897840370057971E-2</v>
      </c>
      <c r="AQ58" s="28"/>
      <c r="AR58" s="25"/>
      <c r="AS58" s="26"/>
      <c r="AT58" s="28">
        <f t="shared" si="58"/>
        <v>-1.0357408055827245E-3</v>
      </c>
      <c r="AU58" s="25"/>
    </row>
    <row r="59" spans="2:47" x14ac:dyDescent="0.2">
      <c r="B59" s="84" t="s">
        <v>30</v>
      </c>
      <c r="C59" s="53"/>
      <c r="R59"/>
      <c r="S59" s="25"/>
      <c r="T59" s="27" t="s">
        <v>96</v>
      </c>
      <c r="U59" s="28">
        <f t="shared" si="51"/>
        <v>9.2677329971476468</v>
      </c>
      <c r="V59" s="225">
        <v>0</v>
      </c>
      <c r="W59" s="25"/>
      <c r="X59" s="25"/>
      <c r="Y59" s="25"/>
      <c r="Z59" s="28">
        <f t="shared" si="55"/>
        <v>0</v>
      </c>
      <c r="AA59" s="25"/>
      <c r="AB59" s="45"/>
      <c r="AC59" s="25"/>
      <c r="AD59" s="27" t="s">
        <v>96</v>
      </c>
      <c r="AE59" s="28">
        <f t="shared" si="52"/>
        <v>9.4735705521931823</v>
      </c>
      <c r="AF59" s="225">
        <v>0</v>
      </c>
      <c r="AG59" s="25"/>
      <c r="AH59" s="25"/>
      <c r="AI59" s="25"/>
      <c r="AJ59" s="28">
        <f t="shared" si="57"/>
        <v>0</v>
      </c>
      <c r="AK59" s="25"/>
      <c r="AM59" s="25"/>
      <c r="AN59" s="27" t="s">
        <v>96</v>
      </c>
      <c r="AO59" s="28">
        <f t="shared" si="53"/>
        <v>9.6107955888902055</v>
      </c>
      <c r="AP59" s="225">
        <v>0</v>
      </c>
      <c r="AQ59" s="25"/>
      <c r="AR59" s="25"/>
      <c r="AS59" s="25"/>
      <c r="AT59" s="28">
        <f t="shared" si="58"/>
        <v>0</v>
      </c>
      <c r="AU59" s="25"/>
    </row>
    <row r="60" spans="2:47" x14ac:dyDescent="0.2">
      <c r="B60" t="str">
        <f>'option 3.2 modernised pack targ'!B70</f>
        <v>as in option 1</v>
      </c>
      <c r="D60" t="s">
        <v>32</v>
      </c>
      <c r="E60" t="s">
        <v>33</v>
      </c>
      <c r="G60" t="str">
        <f>D60</f>
        <v>packaging</v>
      </c>
      <c r="R60"/>
      <c r="S60" s="25"/>
      <c r="T60" s="27" t="s">
        <v>38</v>
      </c>
      <c r="U60" s="28">
        <f t="shared" ref="U60:U66" si="64">Y26</f>
        <v>40.714176822055109</v>
      </c>
      <c r="V60" s="225">
        <f>O314</f>
        <v>0</v>
      </c>
      <c r="W60" s="25"/>
      <c r="X60" s="25"/>
      <c r="Y60" s="25"/>
      <c r="Z60" s="28">
        <f t="shared" si="55"/>
        <v>0</v>
      </c>
      <c r="AA60" s="25"/>
      <c r="AB60" s="45"/>
      <c r="AC60" s="25"/>
      <c r="AD60" s="27" t="s">
        <v>38</v>
      </c>
      <c r="AE60" s="28">
        <f t="shared" ref="AE60:AE66" si="65">AI26</f>
        <v>41.618443983757182</v>
      </c>
      <c r="AF60" s="225">
        <f>P314</f>
        <v>-1.1707738385384444E-2</v>
      </c>
      <c r="AG60" s="25"/>
      <c r="AH60" s="25"/>
      <c r="AI60" s="25"/>
      <c r="AJ60" s="28">
        <f t="shared" si="57"/>
        <v>-0.48725785416860623</v>
      </c>
      <c r="AK60" s="25"/>
      <c r="AM60" s="25"/>
      <c r="AN60" s="27" t="s">
        <v>38</v>
      </c>
      <c r="AO60" s="28">
        <f t="shared" ref="AO60:AO66" si="66">AS26</f>
        <v>42.221288758225228</v>
      </c>
      <c r="AP60" s="225">
        <f t="shared" ref="AP60:AP66" si="67">Q314</f>
        <v>-1.897840370057971E-2</v>
      </c>
      <c r="AQ60" s="25"/>
      <c r="AR60" s="25"/>
      <c r="AS60" s="25"/>
      <c r="AT60" s="28">
        <f t="shared" si="58"/>
        <v>-0.80129266281234623</v>
      </c>
      <c r="AU60" s="25"/>
    </row>
    <row r="61" spans="2:47" x14ac:dyDescent="0.2">
      <c r="R61"/>
      <c r="S61" s="25"/>
      <c r="T61" s="27" t="s">
        <v>39</v>
      </c>
      <c r="U61" s="28">
        <f t="shared" si="64"/>
        <v>2.0770514927350527</v>
      </c>
      <c r="V61" s="225">
        <f t="shared" ref="V61:V66" si="68">O315</f>
        <v>0</v>
      </c>
      <c r="W61" s="25"/>
      <c r="X61" s="25"/>
      <c r="Y61" s="25"/>
      <c r="Z61" s="28">
        <f t="shared" si="55"/>
        <v>0</v>
      </c>
      <c r="AA61" s="25"/>
      <c r="AB61" s="45"/>
      <c r="AC61" s="25"/>
      <c r="AD61" s="27" t="s">
        <v>39</v>
      </c>
      <c r="AE61" s="28">
        <f t="shared" si="65"/>
        <v>2.1231830764891209</v>
      </c>
      <c r="AF61" s="225">
        <f t="shared" ref="AF61:AF66" si="69">P315</f>
        <v>-1.1707738385384444E-2</v>
      </c>
      <c r="AG61" s="25"/>
      <c r="AH61" s="25"/>
      <c r="AI61" s="25"/>
      <c r="AJ61" s="28">
        <f t="shared" si="57"/>
        <v>-2.4857672003810314E-2</v>
      </c>
      <c r="AK61" s="25"/>
      <c r="AM61" s="25"/>
      <c r="AN61" s="27" t="s">
        <v>39</v>
      </c>
      <c r="AO61" s="28">
        <f t="shared" si="66"/>
        <v>2.1539374656584998</v>
      </c>
      <c r="AP61" s="225">
        <f t="shared" si="67"/>
        <v>-1.897840370057971E-2</v>
      </c>
      <c r="AQ61" s="25"/>
      <c r="AR61" s="25"/>
      <c r="AS61" s="25"/>
      <c r="AT61" s="28">
        <f t="shared" si="58"/>
        <v>-4.0878294769070553E-2</v>
      </c>
      <c r="AU61" s="25"/>
    </row>
    <row r="62" spans="2:47" x14ac:dyDescent="0.2">
      <c r="B62" t="s">
        <v>31</v>
      </c>
      <c r="C62" t="s">
        <v>7</v>
      </c>
      <c r="D62">
        <f>'option 3.2 modernised pack targ'!D71</f>
        <v>2470</v>
      </c>
      <c r="E62">
        <f>'option 3.2 modernised pack targ'!E71</f>
        <v>32566</v>
      </c>
      <c r="G62" s="10">
        <f>D62/(D62+E62)*100</f>
        <v>7.0498915401301518</v>
      </c>
      <c r="H62" s="1" t="s">
        <v>2</v>
      </c>
      <c r="I62" s="10">
        <f>G62+G64*(G62/(G62+G63))</f>
        <v>7.2873114912236856</v>
      </c>
      <c r="J62" t="s">
        <v>2</v>
      </c>
      <c r="L62" t="str">
        <f>CONCATENATE(ROUND(I62,1),"% of ",B62," ",C62," litter consists of packaging")</f>
        <v>7,3% of NOR industrial litter consists of packaging</v>
      </c>
      <c r="R62"/>
      <c r="S62" s="25"/>
      <c r="T62" s="27" t="s">
        <v>115</v>
      </c>
      <c r="U62" s="28">
        <f t="shared" si="64"/>
        <v>1.7116858693363994</v>
      </c>
      <c r="V62" s="225">
        <f t="shared" si="68"/>
        <v>0</v>
      </c>
      <c r="W62" s="25"/>
      <c r="X62" s="25"/>
      <c r="Y62" s="25"/>
      <c r="Z62" s="28">
        <f t="shared" si="55"/>
        <v>0</v>
      </c>
      <c r="AA62" s="25"/>
      <c r="AC62" s="25"/>
      <c r="AD62" s="27" t="s">
        <v>115</v>
      </c>
      <c r="AE62" s="28">
        <f t="shared" si="65"/>
        <v>1.7497026350825242</v>
      </c>
      <c r="AF62" s="225">
        <f t="shared" si="69"/>
        <v>-1.1707738385384444E-2</v>
      </c>
      <c r="AG62" s="25"/>
      <c r="AH62" s="25"/>
      <c r="AI62" s="25"/>
      <c r="AJ62" s="28">
        <f t="shared" si="57"/>
        <v>-2.0485060703763977E-2</v>
      </c>
      <c r="AK62" s="25"/>
      <c r="AM62" s="25"/>
      <c r="AN62" s="27" t="s">
        <v>115</v>
      </c>
      <c r="AO62" s="28">
        <f t="shared" si="66"/>
        <v>1.7750471455799408</v>
      </c>
      <c r="AP62" s="225">
        <f t="shared" si="67"/>
        <v>-1.897840370057971E-2</v>
      </c>
      <c r="AQ62" s="25"/>
      <c r="AR62" s="25"/>
      <c r="AS62" s="25"/>
      <c r="AT62" s="28">
        <f t="shared" si="58"/>
        <v>-3.3687561316377797E-2</v>
      </c>
      <c r="AU62" s="25"/>
    </row>
    <row r="63" spans="2:47" x14ac:dyDescent="0.2">
      <c r="B63" t="s">
        <v>31</v>
      </c>
      <c r="C63" t="s">
        <v>34</v>
      </c>
      <c r="D63">
        <f>'option 3.2 modernised pack targ'!D72</f>
        <v>18577</v>
      </c>
      <c r="E63">
        <f>'option 3.2 modernised pack targ'!E72</f>
        <v>10205</v>
      </c>
      <c r="G63" s="10">
        <f t="shared" ref="G63:G73" si="70">D63/(D63+E63)*100</f>
        <v>64.543812104787719</v>
      </c>
      <c r="H63" s="1" t="s">
        <v>2</v>
      </c>
      <c r="I63" s="10">
        <f>G63+G64*(G63/(G62+G63))</f>
        <v>66.717460965352458</v>
      </c>
      <c r="J63" t="s">
        <v>2</v>
      </c>
      <c r="L63" t="str">
        <f t="shared" ref="L63:L72" si="71">CONCATENATE(ROUND(I63,1),"% of ",B63," ",C63," litter consists of packaging")</f>
        <v>66,7% of NOR consumer litter consists of packaging</v>
      </c>
      <c r="R63"/>
      <c r="S63" s="25"/>
      <c r="T63" s="27" t="s">
        <v>116</v>
      </c>
      <c r="U63" s="28">
        <f t="shared" si="64"/>
        <v>0.31184170459189348</v>
      </c>
      <c r="V63" s="225">
        <f t="shared" si="68"/>
        <v>0</v>
      </c>
      <c r="W63" s="25"/>
      <c r="X63" s="25"/>
      <c r="Y63" s="25"/>
      <c r="Z63" s="28">
        <f t="shared" si="55"/>
        <v>0</v>
      </c>
      <c r="AA63" s="25"/>
      <c r="AC63" s="25"/>
      <c r="AD63" s="27" t="s">
        <v>116</v>
      </c>
      <c r="AE63" s="28">
        <f t="shared" si="65"/>
        <v>0.31876774940287178</v>
      </c>
      <c r="AF63" s="225">
        <f t="shared" si="69"/>
        <v>-1.1707738385384444E-2</v>
      </c>
      <c r="AG63" s="25"/>
      <c r="AH63" s="25"/>
      <c r="AI63" s="25"/>
      <c r="AJ63" s="28">
        <f t="shared" si="57"/>
        <v>-3.7320494157066109E-3</v>
      </c>
      <c r="AK63" s="25"/>
      <c r="AM63" s="25"/>
      <c r="AN63" s="27" t="s">
        <v>116</v>
      </c>
      <c r="AO63" s="28">
        <f t="shared" si="66"/>
        <v>0.32338511261019065</v>
      </c>
      <c r="AP63" s="225">
        <f t="shared" si="67"/>
        <v>-1.897840370057971E-2</v>
      </c>
      <c r="AQ63" s="25"/>
      <c r="AR63" s="25"/>
      <c r="AS63" s="25"/>
      <c r="AT63" s="28">
        <f t="shared" si="58"/>
        <v>-6.1373332178736289E-3</v>
      </c>
      <c r="AU63" s="25"/>
    </row>
    <row r="64" spans="2:47" x14ac:dyDescent="0.2">
      <c r="B64" t="s">
        <v>31</v>
      </c>
      <c r="C64" t="s">
        <v>8</v>
      </c>
      <c r="D64">
        <f>'option 3.2 modernised pack targ'!D73</f>
        <v>589</v>
      </c>
      <c r="E64">
        <f>'option 3.2 modernised pack targ'!E73</f>
        <v>23840</v>
      </c>
      <c r="G64" s="10">
        <f t="shared" si="70"/>
        <v>2.411068811658275</v>
      </c>
      <c r="H64" s="1" t="s">
        <v>2</v>
      </c>
      <c r="I64" s="10"/>
      <c r="R64"/>
      <c r="S64" s="25"/>
      <c r="T64" s="27" t="s">
        <v>41</v>
      </c>
      <c r="U64" s="28">
        <f t="shared" si="64"/>
        <v>3.6641848489839943</v>
      </c>
      <c r="V64" s="225">
        <f t="shared" si="68"/>
        <v>0</v>
      </c>
      <c r="W64" s="25"/>
      <c r="X64" s="25"/>
      <c r="Y64" s="25"/>
      <c r="Z64" s="28">
        <f t="shared" si="55"/>
        <v>0</v>
      </c>
      <c r="AA64" s="25"/>
      <c r="AC64" s="25"/>
      <c r="AD64" s="27" t="s">
        <v>41</v>
      </c>
      <c r="AE64" s="28">
        <f t="shared" si="65"/>
        <v>3.7455668709716674</v>
      </c>
      <c r="AF64" s="225">
        <f t="shared" si="69"/>
        <v>-1.1707738385384444E-2</v>
      </c>
      <c r="AG64" s="25"/>
      <c r="AH64" s="25"/>
      <c r="AI64" s="25"/>
      <c r="AJ64" s="28">
        <f t="shared" si="57"/>
        <v>-4.3852117030299294E-2</v>
      </c>
      <c r="AK64" s="25"/>
      <c r="AM64" s="25"/>
      <c r="AN64" s="27" t="s">
        <v>41</v>
      </c>
      <c r="AO64" s="28">
        <f t="shared" si="66"/>
        <v>3.7998215522967826</v>
      </c>
      <c r="AP64" s="225">
        <f t="shared" si="67"/>
        <v>-1.897840370057971E-2</v>
      </c>
      <c r="AQ64" s="25"/>
      <c r="AR64" s="25"/>
      <c r="AS64" s="25"/>
      <c r="AT64" s="28">
        <f t="shared" si="58"/>
        <v>-7.21145474096518E-2</v>
      </c>
      <c r="AU64" s="25"/>
    </row>
    <row r="65" spans="2:47" x14ac:dyDescent="0.2">
      <c r="B65" t="s">
        <v>35</v>
      </c>
      <c r="C65" t="s">
        <v>7</v>
      </c>
      <c r="D65">
        <f>'option 3.2 modernised pack targ'!D74</f>
        <v>1181</v>
      </c>
      <c r="E65">
        <f>'option 3.2 modernised pack targ'!E74</f>
        <v>2444</v>
      </c>
      <c r="G65" s="10">
        <f t="shared" si="70"/>
        <v>32.57931034482759</v>
      </c>
      <c r="H65" s="1" t="s">
        <v>2</v>
      </c>
      <c r="I65" s="10">
        <f>G65+G67*(G65/(G65+G66))</f>
        <v>33.490694179104082</v>
      </c>
      <c r="J65" t="s">
        <v>2</v>
      </c>
      <c r="L65" t="str">
        <f t="shared" si="71"/>
        <v>33,5% of BAL industrial litter consists of packaging</v>
      </c>
      <c r="S65" s="25"/>
      <c r="T65" s="27" t="s">
        <v>105</v>
      </c>
      <c r="U65" s="28">
        <f t="shared" si="64"/>
        <v>0.35883503911995668</v>
      </c>
      <c r="V65" s="225">
        <f t="shared" si="68"/>
        <v>0</v>
      </c>
      <c r="W65" s="25"/>
      <c r="X65" s="25"/>
      <c r="Y65" s="25"/>
      <c r="Z65" s="28">
        <f t="shared" si="55"/>
        <v>0</v>
      </c>
      <c r="AA65" s="25"/>
      <c r="AC65" s="25"/>
      <c r="AD65" s="27" t="s">
        <v>105</v>
      </c>
      <c r="AE65" s="28">
        <f t="shared" si="65"/>
        <v>0.36680481200183107</v>
      </c>
      <c r="AF65" s="225">
        <v>0</v>
      </c>
      <c r="AG65" s="25"/>
      <c r="AH65" s="25"/>
      <c r="AI65" s="25"/>
      <c r="AJ65" s="28">
        <f t="shared" si="57"/>
        <v>0</v>
      </c>
      <c r="AK65" s="25"/>
      <c r="AM65" s="25"/>
      <c r="AN65" s="27" t="s">
        <v>105</v>
      </c>
      <c r="AO65" s="28">
        <f t="shared" si="66"/>
        <v>0.37211799392308076</v>
      </c>
      <c r="AP65" s="225">
        <f t="shared" si="67"/>
        <v>-5.621700120287277E-3</v>
      </c>
      <c r="AQ65" s="25"/>
      <c r="AR65" s="25"/>
      <c r="AS65" s="25"/>
      <c r="AT65" s="28">
        <f t="shared" si="58"/>
        <v>-2.0919357711984433E-3</v>
      </c>
      <c r="AU65" s="25"/>
    </row>
    <row r="66" spans="2:47" x14ac:dyDescent="0.2">
      <c r="B66" t="s">
        <v>35</v>
      </c>
      <c r="C66" t="s">
        <v>34</v>
      </c>
      <c r="D66">
        <f>'option 3.2 modernised pack targ'!D75</f>
        <v>6272</v>
      </c>
      <c r="E66">
        <f>'option 3.2 modernised pack targ'!E75</f>
        <v>3949</v>
      </c>
      <c r="G66" s="10">
        <f t="shared" si="70"/>
        <v>61.363858722238533</v>
      </c>
      <c r="H66" s="1" t="s">
        <v>2</v>
      </c>
      <c r="I66" s="10">
        <f>G66+G67*(G66/(G65+G66))</f>
        <v>63.080470530663561</v>
      </c>
      <c r="J66" t="s">
        <v>2</v>
      </c>
      <c r="L66" t="str">
        <f t="shared" si="71"/>
        <v>63,1% of BAL consumer litter consists of packaging</v>
      </c>
      <c r="S66" s="25"/>
      <c r="T66" s="27" t="s">
        <v>52</v>
      </c>
      <c r="U66" s="28">
        <f t="shared" si="64"/>
        <v>0.18120725081092665</v>
      </c>
      <c r="V66" s="225">
        <f t="shared" si="68"/>
        <v>0</v>
      </c>
      <c r="W66" s="25"/>
      <c r="X66" s="25"/>
      <c r="Y66" s="25"/>
      <c r="Z66" s="28">
        <f t="shared" si="55"/>
        <v>0</v>
      </c>
      <c r="AA66" s="25"/>
      <c r="AC66" s="25"/>
      <c r="AD66" s="27" t="s">
        <v>52</v>
      </c>
      <c r="AE66" s="28">
        <f t="shared" si="65"/>
        <v>0.18523188741568464</v>
      </c>
      <c r="AF66" s="225">
        <f t="shared" si="69"/>
        <v>0</v>
      </c>
      <c r="AG66" s="25"/>
      <c r="AH66" s="25"/>
      <c r="AI66" s="25"/>
      <c r="AJ66" s="28">
        <f t="shared" si="57"/>
        <v>0</v>
      </c>
      <c r="AK66" s="25"/>
      <c r="AM66" s="25"/>
      <c r="AN66" s="27" t="s">
        <v>52</v>
      </c>
      <c r="AO66" s="28">
        <f t="shared" si="66"/>
        <v>0.1879149784855233</v>
      </c>
      <c r="AP66" s="225">
        <f t="shared" si="67"/>
        <v>0</v>
      </c>
      <c r="AQ66" s="25"/>
      <c r="AR66" s="25"/>
      <c r="AS66" s="25"/>
      <c r="AT66" s="28">
        <f t="shared" si="58"/>
        <v>0</v>
      </c>
      <c r="AU66" s="25"/>
    </row>
    <row r="67" spans="2:47" ht="13.5" thickBot="1" x14ac:dyDescent="0.25">
      <c r="B67" t="s">
        <v>35</v>
      </c>
      <c r="C67" t="s">
        <v>8</v>
      </c>
      <c r="D67">
        <f>'option 3.2 modernised pack targ'!D76</f>
        <v>193</v>
      </c>
      <c r="E67">
        <f>'option 3.2 modernised pack targ'!E76</f>
        <v>7151</v>
      </c>
      <c r="G67" s="10">
        <f t="shared" si="70"/>
        <v>2.6279956427015252</v>
      </c>
      <c r="H67" s="1" t="s">
        <v>2</v>
      </c>
      <c r="S67" s="25"/>
      <c r="T67" s="25"/>
      <c r="U67" s="25"/>
      <c r="V67" s="25"/>
      <c r="W67" s="25"/>
      <c r="X67" s="25"/>
      <c r="Y67" s="25"/>
      <c r="Z67" s="25"/>
      <c r="AA67" s="25"/>
      <c r="AC67" s="25"/>
      <c r="AD67" s="25"/>
      <c r="AE67" s="25"/>
      <c r="AF67" s="25"/>
      <c r="AG67" s="25"/>
      <c r="AH67" s="25"/>
      <c r="AI67" s="25"/>
      <c r="AJ67" s="25"/>
      <c r="AK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2:47" ht="13.5" thickBot="1" x14ac:dyDescent="0.25">
      <c r="B68" t="s">
        <v>36</v>
      </c>
      <c r="C68" t="s">
        <v>7</v>
      </c>
      <c r="D68">
        <f>'option 3.2 modernised pack targ'!D77</f>
        <v>15</v>
      </c>
      <c r="E68">
        <f>'option 3.2 modernised pack targ'!E77</f>
        <v>320</v>
      </c>
      <c r="G68" s="10">
        <f t="shared" si="70"/>
        <v>4.4776119402985071</v>
      </c>
      <c r="H68" s="1" t="s">
        <v>2</v>
      </c>
      <c r="I68" s="10">
        <f>G68+G70*(G68/(G68+G69))</f>
        <v>4.7310359768566617</v>
      </c>
      <c r="J68" t="s">
        <v>2</v>
      </c>
      <c r="L68" t="str">
        <f t="shared" si="71"/>
        <v>4,7% of BLA industrial litter consists of packaging</v>
      </c>
      <c r="S68" s="25"/>
      <c r="T68" s="25"/>
      <c r="U68" s="25"/>
      <c r="V68" s="25"/>
      <c r="W68" s="25"/>
      <c r="X68" s="30"/>
      <c r="Y68" s="31" t="s">
        <v>21</v>
      </c>
      <c r="Z68" s="122">
        <f>SUM(Z18:Z66)</f>
        <v>96.223745436245295</v>
      </c>
      <c r="AA68" s="25"/>
      <c r="AC68" s="25"/>
      <c r="AD68" s="25"/>
      <c r="AE68" s="25"/>
      <c r="AF68" s="25"/>
      <c r="AG68" s="25"/>
      <c r="AH68" s="30"/>
      <c r="AI68" s="31" t="s">
        <v>193</v>
      </c>
      <c r="AJ68" s="122">
        <f>SUM(AJ18:AJ66)</f>
        <v>99.37537084952065</v>
      </c>
      <c r="AK68" s="25"/>
      <c r="AM68" s="25"/>
      <c r="AN68" s="25"/>
      <c r="AO68" s="25"/>
      <c r="AP68" s="25"/>
      <c r="AQ68" s="25"/>
      <c r="AR68" s="30"/>
      <c r="AS68" s="31" t="s">
        <v>148</v>
      </c>
      <c r="AT68" s="122">
        <f>SUM(AT18:AT66)</f>
        <v>102.49956758862648</v>
      </c>
      <c r="AU68" s="25"/>
    </row>
    <row r="69" spans="2:47" x14ac:dyDescent="0.2">
      <c r="B69" t="s">
        <v>36</v>
      </c>
      <c r="C69" t="s">
        <v>34</v>
      </c>
      <c r="D69">
        <f>'option 3.2 modernised pack targ'!D78</f>
        <v>2636</v>
      </c>
      <c r="E69">
        <f>'option 3.2 modernised pack targ'!E78</f>
        <v>2609</v>
      </c>
      <c r="G69" s="10">
        <f t="shared" si="70"/>
        <v>50.257387988560531</v>
      </c>
      <c r="H69" s="1" t="s">
        <v>2</v>
      </c>
      <c r="I69" s="10">
        <f>G69+G70*(G69/(G68+G69))</f>
        <v>53.101857384468303</v>
      </c>
      <c r="J69" t="s">
        <v>2</v>
      </c>
      <c r="L69" t="str">
        <f t="shared" si="71"/>
        <v>53,1% of BLA consumer litter consists of packaging</v>
      </c>
      <c r="S69" s="25"/>
      <c r="T69" s="25"/>
      <c r="U69" s="25"/>
      <c r="V69" s="25"/>
      <c r="W69" s="25"/>
      <c r="X69" s="25"/>
      <c r="Y69" s="25"/>
      <c r="Z69" s="25"/>
      <c r="AA69" s="25"/>
      <c r="AC69" s="25"/>
      <c r="AD69" s="25"/>
      <c r="AE69" s="25"/>
      <c r="AF69" s="25"/>
      <c r="AG69" s="25"/>
      <c r="AH69" s="25"/>
      <c r="AI69" s="25"/>
      <c r="AJ69" s="25"/>
      <c r="AK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2:47" ht="13.5" thickBot="1" x14ac:dyDescent="0.25">
      <c r="B70" t="s">
        <v>36</v>
      </c>
      <c r="C70" t="s">
        <v>8</v>
      </c>
      <c r="D70">
        <f>'option 3.2 modernised pack targ'!D79</f>
        <v>25</v>
      </c>
      <c r="E70">
        <f>'option 3.2 modernised pack targ'!E79</f>
        <v>782</v>
      </c>
      <c r="G70" s="10">
        <f t="shared" si="70"/>
        <v>3.0978934324659235</v>
      </c>
      <c r="H70" s="1" t="s">
        <v>2</v>
      </c>
      <c r="I70" s="10"/>
      <c r="S70" s="25"/>
      <c r="T70" s="25"/>
      <c r="U70" s="25"/>
      <c r="V70" s="25"/>
      <c r="W70" s="25"/>
      <c r="X70" s="25"/>
      <c r="Y70" s="25"/>
      <c r="Z70" s="25"/>
      <c r="AA70" s="25"/>
      <c r="AC70" s="25"/>
      <c r="AD70" s="25"/>
      <c r="AE70" s="25"/>
      <c r="AF70" s="25"/>
      <c r="AG70" s="25"/>
      <c r="AH70" s="25"/>
      <c r="AI70" s="25"/>
      <c r="AJ70" s="25"/>
      <c r="AK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2:47" ht="13.5" thickBot="1" x14ac:dyDescent="0.25">
      <c r="B71" t="s">
        <v>37</v>
      </c>
      <c r="C71" t="s">
        <v>7</v>
      </c>
      <c r="D71">
        <f>'option 3.2 modernised pack targ'!D80</f>
        <v>241</v>
      </c>
      <c r="E71">
        <f>'option 3.2 modernised pack targ'!E80</f>
        <v>535</v>
      </c>
      <c r="G71" s="10">
        <f t="shared" si="70"/>
        <v>31.056701030927837</v>
      </c>
      <c r="H71" s="1" t="s">
        <v>2</v>
      </c>
      <c r="I71" s="10">
        <f>G71+G73*(G71/(G71+G72))</f>
        <v>32.847440903542989</v>
      </c>
      <c r="J71" t="s">
        <v>2</v>
      </c>
      <c r="L71" t="str">
        <f t="shared" si="71"/>
        <v>32,8% of MED industrial litter consists of packaging</v>
      </c>
      <c r="S71" s="25"/>
      <c r="T71" s="25"/>
      <c r="U71" s="25"/>
      <c r="V71" s="25"/>
      <c r="W71" s="25"/>
      <c r="X71" s="30" t="s">
        <v>99</v>
      </c>
      <c r="Y71" s="32"/>
      <c r="Z71" s="35">
        <f>100-Z68</f>
        <v>3.7762545637547049</v>
      </c>
      <c r="AA71" s="33" t="s">
        <v>2</v>
      </c>
      <c r="AC71" s="25"/>
      <c r="AD71" s="25"/>
      <c r="AE71" s="25"/>
      <c r="AF71" s="25"/>
      <c r="AG71" s="25"/>
      <c r="AH71" s="30" t="s">
        <v>99</v>
      </c>
      <c r="AI71" s="32"/>
      <c r="AJ71" s="35">
        <f>100-AJ68</f>
        <v>0.62462915047935041</v>
      </c>
      <c r="AK71" s="33" t="s">
        <v>2</v>
      </c>
      <c r="AM71" s="25"/>
      <c r="AN71" s="25"/>
      <c r="AO71" s="25"/>
      <c r="AP71" s="25"/>
      <c r="AQ71" s="25"/>
      <c r="AR71" s="30" t="s">
        <v>99</v>
      </c>
      <c r="AS71" s="32"/>
      <c r="AT71" s="35">
        <f>100-AT68</f>
        <v>-2.4995675886264763</v>
      </c>
      <c r="AU71" s="33" t="s">
        <v>2</v>
      </c>
    </row>
    <row r="72" spans="2:47" x14ac:dyDescent="0.2">
      <c r="B72" t="s">
        <v>37</v>
      </c>
      <c r="C72" t="s">
        <v>34</v>
      </c>
      <c r="D72">
        <f>'option 3.2 modernised pack targ'!D81</f>
        <v>17044</v>
      </c>
      <c r="E72">
        <f>'option 3.2 modernised pack targ'!E81</f>
        <v>6716</v>
      </c>
      <c r="G72" s="10">
        <f t="shared" si="70"/>
        <v>71.734006734006741</v>
      </c>
      <c r="H72" s="1" t="s">
        <v>2</v>
      </c>
      <c r="I72" s="10">
        <f>G72+G73*(G72/(G71+G72))</f>
        <v>75.870213794541144</v>
      </c>
      <c r="J72" t="s">
        <v>2</v>
      </c>
      <c r="L72" t="str">
        <f t="shared" si="71"/>
        <v>75,9% of MED consumer litter consists of packaging</v>
      </c>
      <c r="S72" s="25"/>
      <c r="T72" s="25"/>
      <c r="U72" s="25"/>
      <c r="V72" s="25"/>
      <c r="W72" s="25"/>
      <c r="X72" s="25"/>
      <c r="Y72" s="25"/>
      <c r="Z72" s="25"/>
      <c r="AA72" s="25"/>
      <c r="AC72" s="25"/>
      <c r="AD72" s="25"/>
      <c r="AE72" s="25"/>
      <c r="AF72" s="25"/>
      <c r="AG72" s="25"/>
      <c r="AH72" s="25"/>
      <c r="AI72" s="25"/>
      <c r="AJ72" s="25"/>
      <c r="AK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2:47" x14ac:dyDescent="0.2">
      <c r="B73" t="s">
        <v>37</v>
      </c>
      <c r="C73" t="s">
        <v>8</v>
      </c>
      <c r="D73">
        <f>'option 3.2 modernised pack targ'!D82</f>
        <v>86</v>
      </c>
      <c r="E73">
        <f>'option 3.2 modernised pack targ'!E82</f>
        <v>1365</v>
      </c>
      <c r="G73" s="10">
        <f t="shared" si="70"/>
        <v>5.9269469331495523</v>
      </c>
      <c r="H73" s="1" t="s">
        <v>2</v>
      </c>
    </row>
    <row r="74" spans="2:47" x14ac:dyDescent="0.2">
      <c r="I74" s="209">
        <f>'option 3.2 modernised pack targ'!I83</f>
        <v>60.789731032131009</v>
      </c>
      <c r="J74" s="195" t="s">
        <v>2</v>
      </c>
      <c r="L74" t="str">
        <f>'option 3.2 modernised pack targ'!L83</f>
        <v>60,8% of EU consumer litter consists of packaging</v>
      </c>
    </row>
    <row r="75" spans="2:47" x14ac:dyDescent="0.2">
      <c r="I75" s="180">
        <f>'option 3.2 modernised pack targ'!I84</f>
        <v>7.3719774495337935</v>
      </c>
      <c r="J75" s="186" t="s">
        <v>2</v>
      </c>
      <c r="L75" t="str">
        <f>'option 3.2 modernised pack targ'!L84</f>
        <v>7,4% of EU industrial litter consists of packaging</v>
      </c>
    </row>
    <row r="79" spans="2:47" x14ac:dyDescent="0.2">
      <c r="B79" s="84" t="s">
        <v>68</v>
      </c>
      <c r="C79" s="53"/>
    </row>
    <row r="80" spans="2:47" x14ac:dyDescent="0.2">
      <c r="B80" t="str">
        <f>'option 3.2 modernised pack targ'!B89</f>
        <v>as in option 1</v>
      </c>
    </row>
    <row r="81" spans="2:15" x14ac:dyDescent="0.2">
      <c r="L81" s="1" t="str">
        <f>'option 3.2 modernised pack targ'!R75</f>
        <v>EU averages are weighed, based on:</v>
      </c>
      <c r="M81" s="1"/>
      <c r="N81" s="1"/>
      <c r="O81" s="1"/>
    </row>
    <row r="82" spans="2:15" ht="14.25" x14ac:dyDescent="0.2">
      <c r="B82" s="12" t="s">
        <v>69</v>
      </c>
      <c r="C82" s="12" t="s">
        <v>70</v>
      </c>
      <c r="D82" s="12" t="s">
        <v>71</v>
      </c>
      <c r="E82" s="12" t="s">
        <v>72</v>
      </c>
      <c r="F82" s="12" t="s">
        <v>73</v>
      </c>
      <c r="L82" s="1"/>
      <c r="M82" s="1" t="str">
        <f>'option 3.2 modernised pack targ'!S76</f>
        <v>km</v>
      </c>
      <c r="N82" s="1"/>
      <c r="O82" s="1"/>
    </row>
    <row r="83" spans="2:15" ht="14.25" x14ac:dyDescent="0.2">
      <c r="B83" s="285">
        <f>'option 3.2 modernised pack targ'!B92</f>
        <v>219</v>
      </c>
      <c r="C83" s="14" t="s">
        <v>35</v>
      </c>
      <c r="D83" s="14" t="s">
        <v>63</v>
      </c>
      <c r="E83" s="14" t="s">
        <v>32</v>
      </c>
      <c r="F83" s="14" t="s">
        <v>34</v>
      </c>
      <c r="H83" s="1">
        <f t="shared" ref="H83:H88" si="72">B83/$B$89*100</f>
        <v>3.3973033008968847</v>
      </c>
      <c r="L83" s="1"/>
      <c r="M83" s="1"/>
      <c r="N83" s="1" t="str">
        <f>'option 3.2 modernised pack targ'!T77</f>
        <v>Share of coastline</v>
      </c>
      <c r="O83" s="1" t="str">
        <f>'option 3.2 modernised pack targ'!U77</f>
        <v># of surveys</v>
      </c>
    </row>
    <row r="84" spans="2:15" ht="14.25" x14ac:dyDescent="0.2">
      <c r="B84" s="285">
        <f>'option 3.2 modernised pack targ'!B93</f>
        <v>1046.9933523266857</v>
      </c>
      <c r="C84" s="14" t="s">
        <v>35</v>
      </c>
      <c r="D84" s="14" t="s">
        <v>76</v>
      </c>
      <c r="E84" s="14" t="s">
        <v>32</v>
      </c>
      <c r="F84" s="14" t="s">
        <v>34</v>
      </c>
      <c r="H84" s="1">
        <f t="shared" si="72"/>
        <v>16.241798958340382</v>
      </c>
      <c r="L84" s="86" t="str">
        <f>'option 3.2 modernised pack targ'!R78</f>
        <v>Baltic Sea</v>
      </c>
      <c r="M84" s="1">
        <f>'option 3.2 modernised pack targ'!S78</f>
        <v>13080</v>
      </c>
      <c r="N84" s="210">
        <f>'option 3.2 modernised pack targ'!T78</f>
        <v>0.26286173633440513</v>
      </c>
      <c r="O84" s="1">
        <f>'option 3.2 modernised pack targ'!U78</f>
        <v>152</v>
      </c>
    </row>
    <row r="85" spans="2:15" ht="14.25" x14ac:dyDescent="0.2">
      <c r="B85" s="285">
        <f>'option 3.2 modernised pack targ'!B94</f>
        <v>426</v>
      </c>
      <c r="C85" s="14" t="s">
        <v>35</v>
      </c>
      <c r="D85" s="14" t="s">
        <v>77</v>
      </c>
      <c r="E85" s="14" t="s">
        <v>32</v>
      </c>
      <c r="F85" s="14" t="s">
        <v>34</v>
      </c>
      <c r="H85" s="1">
        <f t="shared" si="72"/>
        <v>6.6084529962651724</v>
      </c>
      <c r="L85" s="86" t="str">
        <f>'option 3.2 modernised pack targ'!R79</f>
        <v>Mediterranean Sea</v>
      </c>
      <c r="M85" s="1">
        <f>'option 3.2 modernised pack targ'!S79</f>
        <v>16164</v>
      </c>
      <c r="N85" s="210">
        <f>'option 3.2 modernised pack targ'!T79</f>
        <v>0.32483922829581996</v>
      </c>
      <c r="O85" s="1">
        <f>'option 3.2 modernised pack targ'!U79</f>
        <v>33</v>
      </c>
    </row>
    <row r="86" spans="2:15" ht="14.25" x14ac:dyDescent="0.2">
      <c r="B86" s="285">
        <f>'option 3.2 modernised pack targ'!B95</f>
        <v>4296.2959719789842</v>
      </c>
      <c r="C86" s="14" t="s">
        <v>35</v>
      </c>
      <c r="D86" s="14" t="s">
        <v>78</v>
      </c>
      <c r="E86" s="14" t="s">
        <v>32</v>
      </c>
      <c r="F86" s="14" t="s">
        <v>34</v>
      </c>
      <c r="H86" s="1">
        <f t="shared" si="72"/>
        <v>66.647582133489465</v>
      </c>
      <c r="L86" s="86" t="str">
        <f>'option 3.2 modernised pack targ'!R80</f>
        <v>North Sea</v>
      </c>
      <c r="M86" s="1">
        <f>'option 3.2 modernised pack targ'!S80</f>
        <v>19885</v>
      </c>
      <c r="N86" s="210">
        <f>'option 3.2 modernised pack targ'!T80</f>
        <v>0.39961816720257237</v>
      </c>
      <c r="O86" s="1">
        <f>'option 3.2 modernised pack targ'!U80</f>
        <v>151</v>
      </c>
    </row>
    <row r="87" spans="2:15" ht="14.25" x14ac:dyDescent="0.2">
      <c r="B87" s="285">
        <f>'option 3.2 modernised pack targ'!B96</f>
        <v>229</v>
      </c>
      <c r="C87" s="14" t="s">
        <v>35</v>
      </c>
      <c r="D87" s="14" t="s">
        <v>79</v>
      </c>
      <c r="E87" s="14" t="s">
        <v>32</v>
      </c>
      <c r="F87" s="14" t="s">
        <v>34</v>
      </c>
      <c r="H87" s="1">
        <f t="shared" si="72"/>
        <v>3.5524313055040482</v>
      </c>
      <c r="L87" s="86" t="str">
        <f>'option 3.2 modernised pack targ'!R81</f>
        <v>Black Sea</v>
      </c>
      <c r="M87" s="1">
        <f>'option 3.2 modernised pack targ'!S81</f>
        <v>631</v>
      </c>
      <c r="N87" s="210">
        <f>'option 3.2 modernised pack targ'!T81</f>
        <v>1.2680868167202573E-2</v>
      </c>
      <c r="O87" s="1">
        <f>'option 3.2 modernised pack targ'!U81</f>
        <v>7</v>
      </c>
    </row>
    <row r="88" spans="2:15" ht="14.25" x14ac:dyDescent="0.2">
      <c r="B88" s="285">
        <f>'option 3.2 modernised pack targ'!B97</f>
        <v>229</v>
      </c>
      <c r="C88" s="14" t="s">
        <v>35</v>
      </c>
      <c r="D88" s="14" t="s">
        <v>80</v>
      </c>
      <c r="E88" s="14" t="s">
        <v>32</v>
      </c>
      <c r="F88" s="14" t="s">
        <v>34</v>
      </c>
      <c r="H88" s="1">
        <f t="shared" si="72"/>
        <v>3.5524313055040482</v>
      </c>
      <c r="L88" s="86" t="str">
        <f>'option 3.2 modernised pack targ'!R82</f>
        <v>Total coast line</v>
      </c>
      <c r="M88" s="1">
        <f>'option 3.2 modernised pack targ'!S82</f>
        <v>49760</v>
      </c>
      <c r="N88" s="210">
        <f>'option 3.2 modernised pack targ'!T82</f>
        <v>1</v>
      </c>
      <c r="O88" s="1">
        <f>'option 3.2 modernised pack targ'!U82</f>
        <v>0</v>
      </c>
    </row>
    <row r="89" spans="2:15" ht="14.25" x14ac:dyDescent="0.2">
      <c r="B89" s="278">
        <f>SUM(B83:B88)</f>
        <v>6446.2893243056697</v>
      </c>
      <c r="C89" s="14"/>
      <c r="D89" s="14"/>
      <c r="E89" s="14"/>
      <c r="F89" s="14"/>
      <c r="H89" s="16">
        <f>SUM(H83:H88)</f>
        <v>99.999999999999986</v>
      </c>
    </row>
    <row r="90" spans="2:15" ht="14.25" x14ac:dyDescent="0.2">
      <c r="B90" s="285">
        <f>'option 3.2 modernised pack targ'!B99</f>
        <v>24</v>
      </c>
      <c r="C90" s="14" t="s">
        <v>36</v>
      </c>
      <c r="D90" s="14" t="s">
        <v>63</v>
      </c>
      <c r="E90" s="14" t="s">
        <v>32</v>
      </c>
      <c r="F90" s="14" t="s">
        <v>34</v>
      </c>
      <c r="H90" s="1">
        <f t="shared" ref="H90:H95" si="73">B90/$B$96*100</f>
        <v>0.90739181920646006</v>
      </c>
    </row>
    <row r="91" spans="2:15" ht="14.25" x14ac:dyDescent="0.2">
      <c r="B91" s="285">
        <f>'option 3.2 modernised pack targ'!B100</f>
        <v>482.94339622641508</v>
      </c>
      <c r="C91" s="14" t="s">
        <v>36</v>
      </c>
      <c r="D91" s="14" t="s">
        <v>76</v>
      </c>
      <c r="E91" s="14" t="s">
        <v>32</v>
      </c>
      <c r="F91" s="14" t="s">
        <v>34</v>
      </c>
      <c r="H91" s="1">
        <f t="shared" si="73"/>
        <v>18.259120286484713</v>
      </c>
    </row>
    <row r="92" spans="2:15" ht="14.25" x14ac:dyDescent="0.2">
      <c r="B92" s="285">
        <f>'option 3.2 modernised pack targ'!B101</f>
        <v>44</v>
      </c>
      <c r="C92" s="14" t="s">
        <v>36</v>
      </c>
      <c r="D92" s="14" t="s">
        <v>77</v>
      </c>
      <c r="E92" s="14" t="s">
        <v>32</v>
      </c>
      <c r="F92" s="14" t="s">
        <v>34</v>
      </c>
      <c r="H92" s="1">
        <f t="shared" si="73"/>
        <v>1.6635516685451768</v>
      </c>
    </row>
    <row r="93" spans="2:15" ht="14.25" x14ac:dyDescent="0.2">
      <c r="B93" s="285">
        <f>'option 3.2 modernised pack targ'!B102</f>
        <v>2024</v>
      </c>
      <c r="C93" s="14" t="s">
        <v>36</v>
      </c>
      <c r="D93" s="14" t="s">
        <v>78</v>
      </c>
      <c r="E93" s="14" t="s">
        <v>32</v>
      </c>
      <c r="F93" s="14" t="s">
        <v>34</v>
      </c>
      <c r="H93" s="1">
        <f t="shared" si="73"/>
        <v>76.523376753078139</v>
      </c>
    </row>
    <row r="94" spans="2:15" ht="14.25" x14ac:dyDescent="0.2">
      <c r="B94" s="285">
        <f>'option 3.2 modernised pack targ'!B103</f>
        <v>69</v>
      </c>
      <c r="C94" s="14" t="s">
        <v>36</v>
      </c>
      <c r="D94" s="14" t="s">
        <v>79</v>
      </c>
      <c r="E94" s="14" t="s">
        <v>32</v>
      </c>
      <c r="F94" s="14" t="s">
        <v>34</v>
      </c>
      <c r="H94" s="1">
        <f t="shared" si="73"/>
        <v>2.6087514802185732</v>
      </c>
    </row>
    <row r="95" spans="2:15" ht="14.25" x14ac:dyDescent="0.2">
      <c r="B95" s="285">
        <f>'option 3.2 modernised pack targ'!B104</f>
        <v>1</v>
      </c>
      <c r="C95" s="14" t="s">
        <v>36</v>
      </c>
      <c r="D95" s="14" t="s">
        <v>80</v>
      </c>
      <c r="E95" s="14" t="s">
        <v>32</v>
      </c>
      <c r="F95" s="14" t="s">
        <v>34</v>
      </c>
      <c r="H95" s="1">
        <f t="shared" si="73"/>
        <v>3.7807992466935843E-2</v>
      </c>
    </row>
    <row r="96" spans="2:15" ht="14.25" x14ac:dyDescent="0.2">
      <c r="B96" s="278">
        <f>SUM(B90:B95)</f>
        <v>2644.9433962264152</v>
      </c>
      <c r="C96" s="14"/>
      <c r="D96" s="14"/>
      <c r="E96" s="14"/>
      <c r="F96" s="14"/>
      <c r="H96" s="16">
        <f>SUM(H90:H95)</f>
        <v>100</v>
      </c>
    </row>
    <row r="97" spans="2:8" ht="14.25" x14ac:dyDescent="0.2">
      <c r="B97" s="285">
        <f>'option 3.2 modernised pack targ'!B106</f>
        <v>923</v>
      </c>
      <c r="C97" s="14" t="s">
        <v>37</v>
      </c>
      <c r="D97" s="14" t="s">
        <v>63</v>
      </c>
      <c r="E97" s="14" t="s">
        <v>32</v>
      </c>
      <c r="F97" s="14" t="s">
        <v>34</v>
      </c>
      <c r="H97" s="1">
        <f t="shared" ref="H97:H102" si="74">B97/$B$103*100</f>
        <v>5.3898006523170325</v>
      </c>
    </row>
    <row r="98" spans="2:8" ht="14.25" x14ac:dyDescent="0.2">
      <c r="B98" s="285">
        <f>'option 3.2 modernised pack targ'!B107</f>
        <v>512</v>
      </c>
      <c r="C98" s="14" t="s">
        <v>37</v>
      </c>
      <c r="D98" s="14" t="s">
        <v>76</v>
      </c>
      <c r="E98" s="14" t="s">
        <v>32</v>
      </c>
      <c r="F98" s="14" t="s">
        <v>34</v>
      </c>
      <c r="H98" s="1">
        <f t="shared" si="74"/>
        <v>2.9897919111444424</v>
      </c>
    </row>
    <row r="99" spans="2:8" ht="14.25" x14ac:dyDescent="0.2">
      <c r="B99" s="285">
        <f>'option 3.2 modernised pack targ'!B108</f>
        <v>1597</v>
      </c>
      <c r="C99" s="14" t="s">
        <v>37</v>
      </c>
      <c r="D99" s="14" t="s">
        <v>77</v>
      </c>
      <c r="E99" s="14" t="s">
        <v>32</v>
      </c>
      <c r="F99" s="14" t="s">
        <v>34</v>
      </c>
      <c r="H99" s="1">
        <f t="shared" si="74"/>
        <v>9.3255814103470218</v>
      </c>
    </row>
    <row r="100" spans="2:8" ht="14.25" x14ac:dyDescent="0.2">
      <c r="B100" s="285">
        <f>'option 3.2 modernised pack targ'!B109</f>
        <v>14022.937628318585</v>
      </c>
      <c r="C100" s="14" t="s">
        <v>37</v>
      </c>
      <c r="D100" s="14" t="s">
        <v>78</v>
      </c>
      <c r="E100" s="14" t="s">
        <v>32</v>
      </c>
      <c r="F100" s="14" t="s">
        <v>34</v>
      </c>
      <c r="H100" s="1">
        <f t="shared" si="74"/>
        <v>81.886065413339722</v>
      </c>
    </row>
    <row r="101" spans="2:8" ht="14.25" x14ac:dyDescent="0.2">
      <c r="B101" s="285">
        <f>'option 3.2 modernised pack targ'!B110</f>
        <v>38</v>
      </c>
      <c r="C101" s="14" t="s">
        <v>37</v>
      </c>
      <c r="D101" s="14" t="s">
        <v>79</v>
      </c>
      <c r="E101" s="14" t="s">
        <v>32</v>
      </c>
      <c r="F101" s="14" t="s">
        <v>34</v>
      </c>
      <c r="H101" s="1">
        <f t="shared" si="74"/>
        <v>0.2218986184052516</v>
      </c>
    </row>
    <row r="102" spans="2:8" ht="14.25" x14ac:dyDescent="0.2">
      <c r="B102" s="285">
        <f>'option 3.2 modernised pack targ'!B111</f>
        <v>32</v>
      </c>
      <c r="C102" s="14" t="s">
        <v>37</v>
      </c>
      <c r="D102" s="14" t="s">
        <v>80</v>
      </c>
      <c r="E102" s="14" t="s">
        <v>32</v>
      </c>
      <c r="F102" s="14" t="s">
        <v>34</v>
      </c>
      <c r="H102" s="1">
        <f t="shared" si="74"/>
        <v>0.18686199444652765</v>
      </c>
    </row>
    <row r="103" spans="2:8" ht="14.25" x14ac:dyDescent="0.2">
      <c r="B103" s="278">
        <f>SUM(B97:B102)</f>
        <v>17124.937628318585</v>
      </c>
      <c r="C103" s="14"/>
      <c r="D103" s="14"/>
      <c r="E103" s="14"/>
      <c r="F103" s="14"/>
      <c r="H103" s="16">
        <f>SUM(H97:H102)</f>
        <v>100</v>
      </c>
    </row>
    <row r="104" spans="2:8" ht="14.25" x14ac:dyDescent="0.2">
      <c r="B104" s="285">
        <f>'option 3.2 modernised pack targ'!B113</f>
        <v>171</v>
      </c>
      <c r="C104" s="14" t="s">
        <v>31</v>
      </c>
      <c r="D104" s="14" t="s">
        <v>63</v>
      </c>
      <c r="E104" s="14" t="s">
        <v>32</v>
      </c>
      <c r="F104" s="14" t="s">
        <v>34</v>
      </c>
      <c r="H104" s="1">
        <f t="shared" ref="H104:H109" si="75">B104/$B$110*100</f>
        <v>0.89511083776975808</v>
      </c>
    </row>
    <row r="105" spans="2:8" ht="14.25" x14ac:dyDescent="0.2">
      <c r="B105" s="285">
        <f>'option 3.2 modernised pack targ'!B114</f>
        <v>747.52475247524751</v>
      </c>
      <c r="C105" s="14" t="s">
        <v>31</v>
      </c>
      <c r="D105" s="14" t="s">
        <v>76</v>
      </c>
      <c r="E105" s="14" t="s">
        <v>32</v>
      </c>
      <c r="F105" s="14" t="s">
        <v>34</v>
      </c>
      <c r="H105" s="1">
        <f t="shared" si="75"/>
        <v>3.912967879776315</v>
      </c>
    </row>
    <row r="106" spans="2:8" ht="14.25" x14ac:dyDescent="0.2">
      <c r="B106" s="285">
        <f>'option 3.2 modernised pack targ'!B115</f>
        <v>391</v>
      </c>
      <c r="C106" s="14" t="s">
        <v>31</v>
      </c>
      <c r="D106" s="14" t="s">
        <v>77</v>
      </c>
      <c r="E106" s="14" t="s">
        <v>32</v>
      </c>
      <c r="F106" s="14" t="s">
        <v>34</v>
      </c>
      <c r="H106" s="1">
        <f t="shared" si="75"/>
        <v>2.0467154243741255</v>
      </c>
    </row>
    <row r="107" spans="2:8" ht="14.25" x14ac:dyDescent="0.2">
      <c r="B107" s="285">
        <f>'option 3.2 modernised pack targ'!B116</f>
        <v>17423.254666178702</v>
      </c>
      <c r="C107" s="14" t="s">
        <v>31</v>
      </c>
      <c r="D107" s="14" t="s">
        <v>78</v>
      </c>
      <c r="E107" s="14" t="s">
        <v>32</v>
      </c>
      <c r="F107" s="14" t="s">
        <v>34</v>
      </c>
      <c r="H107" s="1">
        <f t="shared" si="75"/>
        <v>91.203181759760611</v>
      </c>
    </row>
    <row r="108" spans="2:8" ht="14.25" x14ac:dyDescent="0.2">
      <c r="B108" s="285">
        <f>'option 3.2 modernised pack targ'!B117</f>
        <v>312</v>
      </c>
      <c r="C108" s="14" t="s">
        <v>31</v>
      </c>
      <c r="D108" s="14" t="s">
        <v>79</v>
      </c>
      <c r="E108" s="14" t="s">
        <v>32</v>
      </c>
      <c r="F108" s="14" t="s">
        <v>34</v>
      </c>
      <c r="H108" s="1">
        <f t="shared" si="75"/>
        <v>1.6331846864571027</v>
      </c>
    </row>
    <row r="109" spans="2:8" ht="14.25" x14ac:dyDescent="0.2">
      <c r="B109" s="285">
        <f>'option 3.2 modernised pack targ'!B118</f>
        <v>59</v>
      </c>
      <c r="C109" s="14" t="s">
        <v>31</v>
      </c>
      <c r="D109" s="14" t="s">
        <v>80</v>
      </c>
      <c r="E109" s="14" t="s">
        <v>32</v>
      </c>
      <c r="F109" s="14" t="s">
        <v>34</v>
      </c>
      <c r="H109" s="1">
        <f t="shared" si="75"/>
        <v>0.3088394118620803</v>
      </c>
    </row>
    <row r="110" spans="2:8" ht="14.25" x14ac:dyDescent="0.2">
      <c r="B110" s="278">
        <f>SUM(B104:B109)</f>
        <v>19103.77941865395</v>
      </c>
      <c r="C110" s="14"/>
      <c r="D110" s="14"/>
      <c r="E110" s="14"/>
      <c r="F110" s="14"/>
      <c r="H110" s="16">
        <f>SUM(H104:H109)</f>
        <v>99.999999999999986</v>
      </c>
    </row>
    <row r="111" spans="2:8" ht="14.25" x14ac:dyDescent="0.2">
      <c r="B111" s="285">
        <f>'option 3.2 modernised pack targ'!B120</f>
        <v>2</v>
      </c>
      <c r="C111" s="14" t="s">
        <v>35</v>
      </c>
      <c r="D111" s="14" t="s">
        <v>74</v>
      </c>
      <c r="E111" s="14" t="s">
        <v>32</v>
      </c>
      <c r="F111" s="14" t="s">
        <v>75</v>
      </c>
      <c r="H111" s="1">
        <f>B111/$B$116*100</f>
        <v>0.16670686028883624</v>
      </c>
    </row>
    <row r="112" spans="2:8" ht="14.25" x14ac:dyDescent="0.2">
      <c r="B112" s="285">
        <f>'option 3.2 modernised pack targ'!B121</f>
        <v>7.0066476733143404</v>
      </c>
      <c r="C112" s="14" t="s">
        <v>35</v>
      </c>
      <c r="D112" s="14" t="s">
        <v>76</v>
      </c>
      <c r="E112" s="14" t="s">
        <v>32</v>
      </c>
      <c r="F112" s="14" t="s">
        <v>75</v>
      </c>
      <c r="H112" s="1">
        <f>B112/$B$116*100</f>
        <v>0.5840281173841565</v>
      </c>
    </row>
    <row r="113" spans="2:8" ht="14.25" x14ac:dyDescent="0.2">
      <c r="B113" s="285">
        <f>'option 3.2 modernised pack targ'!B122</f>
        <v>237</v>
      </c>
      <c r="C113" s="14" t="s">
        <v>35</v>
      </c>
      <c r="D113" s="14" t="s">
        <v>77</v>
      </c>
      <c r="E113" s="14" t="s">
        <v>32</v>
      </c>
      <c r="F113" s="14" t="s">
        <v>75</v>
      </c>
      <c r="H113" s="1">
        <f>B113/$B$116*100</f>
        <v>19.754762944227092</v>
      </c>
    </row>
    <row r="114" spans="2:8" ht="14.25" x14ac:dyDescent="0.2">
      <c r="B114" s="285">
        <f>'option 3.2 modernised pack targ'!B123</f>
        <v>463.70402802101574</v>
      </c>
      <c r="C114" s="14" t="s">
        <v>35</v>
      </c>
      <c r="D114" s="14" t="s">
        <v>78</v>
      </c>
      <c r="E114" s="14" t="s">
        <v>32</v>
      </c>
      <c r="F114" s="14" t="s">
        <v>75</v>
      </c>
      <c r="H114" s="1">
        <f>B114/$B$116*100</f>
        <v>38.651321307335031</v>
      </c>
    </row>
    <row r="115" spans="2:8" ht="14.25" x14ac:dyDescent="0.2">
      <c r="B115" s="285">
        <f>'option 3.2 modernised pack targ'!B124</f>
        <v>490</v>
      </c>
      <c r="C115" s="14" t="s">
        <v>35</v>
      </c>
      <c r="D115" s="14" t="s">
        <v>79</v>
      </c>
      <c r="E115" s="14" t="s">
        <v>32</v>
      </c>
      <c r="F115" s="14" t="s">
        <v>75</v>
      </c>
      <c r="H115" s="1">
        <f>B115/$B$116*100</f>
        <v>40.843180770764874</v>
      </c>
    </row>
    <row r="116" spans="2:8" ht="14.25" x14ac:dyDescent="0.2">
      <c r="B116" s="278">
        <f>SUM(B111:B115)</f>
        <v>1199.7106756943301</v>
      </c>
      <c r="C116" s="14"/>
      <c r="D116" s="14"/>
      <c r="E116" s="14"/>
      <c r="F116" s="14"/>
      <c r="H116" s="16">
        <f>SUM(H111:H115)</f>
        <v>100</v>
      </c>
    </row>
    <row r="117" spans="2:8" ht="14.25" x14ac:dyDescent="0.2">
      <c r="B117" s="285">
        <f>'option 3.2 modernised pack targ'!B126</f>
        <v>3</v>
      </c>
      <c r="C117" s="14" t="s">
        <v>36</v>
      </c>
      <c r="D117" s="14" t="s">
        <v>76</v>
      </c>
      <c r="E117" s="14" t="s">
        <v>32</v>
      </c>
      <c r="F117" s="14" t="s">
        <v>75</v>
      </c>
      <c r="H117" s="1">
        <f>B117/$B$119*100</f>
        <v>20</v>
      </c>
    </row>
    <row r="118" spans="2:8" ht="14.25" x14ac:dyDescent="0.2">
      <c r="B118" s="285">
        <f>'option 3.2 modernised pack targ'!B127</f>
        <v>12</v>
      </c>
      <c r="C118" s="14" t="s">
        <v>36</v>
      </c>
      <c r="D118" s="14" t="s">
        <v>77</v>
      </c>
      <c r="E118" s="14" t="s">
        <v>32</v>
      </c>
      <c r="F118" s="14" t="s">
        <v>75</v>
      </c>
      <c r="H118" s="1">
        <f>B118/$B$119*100</f>
        <v>80</v>
      </c>
    </row>
    <row r="119" spans="2:8" ht="14.25" x14ac:dyDescent="0.2">
      <c r="B119" s="278">
        <f>SUM(B117:B118)</f>
        <v>15</v>
      </c>
      <c r="C119" s="14"/>
      <c r="D119" s="14"/>
      <c r="E119" s="14"/>
      <c r="F119" s="14"/>
      <c r="H119" s="16">
        <f>SUM(H117:H118)</f>
        <v>100</v>
      </c>
    </row>
    <row r="120" spans="2:8" ht="14.25" x14ac:dyDescent="0.2">
      <c r="B120" s="285">
        <f>'option 3.2 modernised pack targ'!B129</f>
        <v>38</v>
      </c>
      <c r="C120" s="14" t="s">
        <v>37</v>
      </c>
      <c r="D120" s="14" t="s">
        <v>77</v>
      </c>
      <c r="E120" s="14" t="s">
        <v>32</v>
      </c>
      <c r="F120" s="14" t="s">
        <v>75</v>
      </c>
      <c r="H120" s="1">
        <f>B120/$B$123*100</f>
        <v>15.698433315365806</v>
      </c>
    </row>
    <row r="121" spans="2:8" ht="14.25" x14ac:dyDescent="0.2">
      <c r="B121" s="285">
        <f>'option 3.2 modernised pack targ'!B130</f>
        <v>184.06237168141593</v>
      </c>
      <c r="C121" s="14" t="s">
        <v>37</v>
      </c>
      <c r="D121" s="14" t="s">
        <v>78</v>
      </c>
      <c r="E121" s="14" t="s">
        <v>32</v>
      </c>
      <c r="F121" s="14" t="s">
        <v>75</v>
      </c>
      <c r="H121" s="1">
        <f>B121/$B$123*100</f>
        <v>76.03923336075745</v>
      </c>
    </row>
    <row r="122" spans="2:8" ht="14.25" x14ac:dyDescent="0.2">
      <c r="B122" s="285">
        <f>'option 3.2 modernised pack targ'!B131</f>
        <v>20</v>
      </c>
      <c r="C122" s="14" t="s">
        <v>37</v>
      </c>
      <c r="D122" s="14" t="s">
        <v>79</v>
      </c>
      <c r="E122" s="14" t="s">
        <v>32</v>
      </c>
      <c r="F122" s="14" t="s">
        <v>75</v>
      </c>
      <c r="H122" s="1">
        <f>B122/$B$123*100</f>
        <v>8.2623333238767405</v>
      </c>
    </row>
    <row r="123" spans="2:8" ht="14.25" x14ac:dyDescent="0.2">
      <c r="B123" s="278">
        <f>SUM(B120:B122)</f>
        <v>242.06237168141593</v>
      </c>
      <c r="C123" s="14"/>
      <c r="D123" s="14"/>
      <c r="E123" s="14"/>
      <c r="F123" s="14"/>
      <c r="H123" s="16">
        <f>SUM(H120:H122)</f>
        <v>100</v>
      </c>
    </row>
    <row r="124" spans="2:8" ht="14.25" x14ac:dyDescent="0.2">
      <c r="B124" s="285">
        <f>'option 3.2 modernised pack targ'!B133</f>
        <v>33</v>
      </c>
      <c r="C124" s="14" t="s">
        <v>31</v>
      </c>
      <c r="D124" s="14" t="s">
        <v>74</v>
      </c>
      <c r="E124" s="14" t="s">
        <v>32</v>
      </c>
      <c r="F124" s="14" t="s">
        <v>75</v>
      </c>
      <c r="H124" s="1">
        <f>B124/$B$129*100</f>
        <v>1.3032040037546095</v>
      </c>
    </row>
    <row r="125" spans="2:8" ht="14.25" x14ac:dyDescent="0.2">
      <c r="B125" s="285">
        <f>'option 3.2 modernised pack targ'!B134</f>
        <v>7.4752475247524757</v>
      </c>
      <c r="C125" s="14" t="s">
        <v>31</v>
      </c>
      <c r="D125" s="14" t="s">
        <v>76</v>
      </c>
      <c r="E125" s="14" t="s">
        <v>32</v>
      </c>
      <c r="F125" s="14" t="s">
        <v>75</v>
      </c>
      <c r="H125" s="1">
        <f>B125/$B$129*100</f>
        <v>0.29520522737315635</v>
      </c>
    </row>
    <row r="126" spans="2:8" ht="14.25" x14ac:dyDescent="0.2">
      <c r="B126" s="285">
        <f>'option 3.2 modernised pack targ'!B135</f>
        <v>61</v>
      </c>
      <c r="C126" s="14" t="s">
        <v>31</v>
      </c>
      <c r="D126" s="14" t="s">
        <v>77</v>
      </c>
      <c r="E126" s="14" t="s">
        <v>32</v>
      </c>
      <c r="F126" s="14" t="s">
        <v>75</v>
      </c>
      <c r="H126" s="1">
        <f>B126/$B$129*100</f>
        <v>2.4089528554251873</v>
      </c>
    </row>
    <row r="127" spans="2:8" ht="14.25" x14ac:dyDescent="0.2">
      <c r="B127" s="285">
        <f>'option 3.2 modernised pack targ'!B136</f>
        <v>2244.7453338212999</v>
      </c>
      <c r="C127" s="14" t="s">
        <v>31</v>
      </c>
      <c r="D127" s="14" t="s">
        <v>78</v>
      </c>
      <c r="E127" s="14" t="s">
        <v>32</v>
      </c>
      <c r="F127" s="14" t="s">
        <v>75</v>
      </c>
      <c r="H127" s="1">
        <f>B127/$B$129*100</f>
        <v>88.647306255921066</v>
      </c>
    </row>
    <row r="128" spans="2:8" ht="14.25" x14ac:dyDescent="0.2">
      <c r="B128" s="285">
        <f>'option 3.2 modernised pack targ'!B137</f>
        <v>186</v>
      </c>
      <c r="C128" s="14" t="s">
        <v>31</v>
      </c>
      <c r="D128" s="14" t="s">
        <v>79</v>
      </c>
      <c r="E128" s="14" t="s">
        <v>32</v>
      </c>
      <c r="F128" s="14" t="s">
        <v>75</v>
      </c>
      <c r="H128" s="1">
        <f>B128/$B$129*100</f>
        <v>7.3453316575259802</v>
      </c>
    </row>
    <row r="129" spans="2:14" ht="14.25" x14ac:dyDescent="0.2">
      <c r="B129" s="278">
        <f>SUM(B124:B128)</f>
        <v>2532.2205813460523</v>
      </c>
      <c r="C129" s="14"/>
      <c r="D129" s="14"/>
      <c r="E129" s="14"/>
      <c r="F129" s="14"/>
      <c r="H129" s="16">
        <f>SUM(H124:H128)</f>
        <v>100</v>
      </c>
    </row>
    <row r="130" spans="2:14" ht="14.25" x14ac:dyDescent="0.2">
      <c r="B130" s="13"/>
      <c r="C130" s="14"/>
      <c r="D130" s="14"/>
      <c r="E130" s="14"/>
      <c r="F130" s="14"/>
    </row>
    <row r="131" spans="2:14" ht="14.25" x14ac:dyDescent="0.2">
      <c r="B131" s="13" t="s">
        <v>34</v>
      </c>
      <c r="C131" s="14" t="s">
        <v>81</v>
      </c>
      <c r="D131" s="14" t="s">
        <v>62</v>
      </c>
      <c r="E131" s="14"/>
      <c r="F131" s="14"/>
      <c r="H131" s="149">
        <f>'option 3.2 modernised pack targ'!H140</f>
        <v>83.057979393622716</v>
      </c>
      <c r="I131" t="s">
        <v>2</v>
      </c>
    </row>
    <row r="132" spans="2:14" ht="14.25" x14ac:dyDescent="0.2">
      <c r="B132" s="15"/>
      <c r="C132" s="14"/>
      <c r="D132" s="14" t="s">
        <v>63</v>
      </c>
      <c r="E132" s="14"/>
      <c r="F132" s="14"/>
      <c r="H132" s="150">
        <f>'option 3.2 modernised pack targ'!H141</f>
        <v>4.2372390540296649</v>
      </c>
      <c r="I132" t="s">
        <v>2</v>
      </c>
      <c r="L132" t="s">
        <v>112</v>
      </c>
    </row>
    <row r="133" spans="2:14" ht="14.25" x14ac:dyDescent="0.2">
      <c r="B133" s="13"/>
      <c r="C133" s="14"/>
      <c r="D133" s="36" t="s">
        <v>76</v>
      </c>
      <c r="E133" s="36"/>
      <c r="F133" s="36"/>
      <c r="G133" s="37"/>
      <c r="H133" s="207">
        <f>'option 3.2 modernised pack targ'!H142</f>
        <v>4.1280488678999632</v>
      </c>
      <c r="I133" s="37" t="s">
        <v>2</v>
      </c>
      <c r="L133" t="s">
        <v>113</v>
      </c>
      <c r="M133" s="34">
        <f>M37</f>
        <v>84.589204090433412</v>
      </c>
      <c r="N133" t="s">
        <v>2</v>
      </c>
    </row>
    <row r="134" spans="2:14" ht="14.25" x14ac:dyDescent="0.2">
      <c r="B134" s="13"/>
      <c r="C134" s="14"/>
      <c r="D134" s="14" t="s">
        <v>113</v>
      </c>
      <c r="E134" s="14"/>
      <c r="F134" s="14"/>
      <c r="H134" s="150">
        <f>'option 3.2 modernised pack targ'!H143</f>
        <v>3.4918836818207257</v>
      </c>
      <c r="I134" t="s">
        <v>2</v>
      </c>
      <c r="L134" t="s">
        <v>114</v>
      </c>
      <c r="M134" s="34">
        <f>M38</f>
        <v>15.410795909566593</v>
      </c>
      <c r="N134" t="s">
        <v>2</v>
      </c>
    </row>
    <row r="135" spans="2:14" ht="14.25" x14ac:dyDescent="0.2">
      <c r="B135" s="13"/>
      <c r="C135" s="14"/>
      <c r="D135" s="14" t="s">
        <v>114</v>
      </c>
      <c r="E135" s="14"/>
      <c r="F135" s="14"/>
      <c r="H135" s="150">
        <f>'option 3.2 modernised pack targ'!H144</f>
        <v>0.63616518607923755</v>
      </c>
      <c r="I135" t="s">
        <v>2</v>
      </c>
    </row>
    <row r="136" spans="2:14" ht="14.25" x14ac:dyDescent="0.2">
      <c r="B136" s="13"/>
      <c r="C136" s="14"/>
      <c r="D136" s="14" t="s">
        <v>65</v>
      </c>
      <c r="E136" s="14"/>
      <c r="F136" s="14"/>
      <c r="H136" s="150">
        <f>'option 3.2 modernised pack targ'!H145</f>
        <v>7.4750323704561428</v>
      </c>
      <c r="I136" t="s">
        <v>2</v>
      </c>
    </row>
    <row r="137" spans="2:14" ht="14.25" x14ac:dyDescent="0.2">
      <c r="B137" s="13"/>
      <c r="C137" s="14"/>
      <c r="D137" s="14" t="s">
        <v>106</v>
      </c>
      <c r="E137" s="14"/>
      <c r="F137" s="14"/>
      <c r="H137" s="150">
        <f>'option 3.2 modernised pack targ'!H146</f>
        <v>0.7320328104678786</v>
      </c>
      <c r="I137" t="s">
        <v>2</v>
      </c>
    </row>
    <row r="138" spans="2:14" ht="14.25" x14ac:dyDescent="0.2">
      <c r="B138" s="15"/>
      <c r="C138" s="14"/>
      <c r="D138" s="14" t="s">
        <v>82</v>
      </c>
      <c r="E138" s="14"/>
      <c r="F138" s="14"/>
      <c r="H138" s="151">
        <f>'option 3.2 modernised pack targ'!H147</f>
        <v>0.36966750352363531</v>
      </c>
      <c r="I138" t="s">
        <v>2</v>
      </c>
    </row>
    <row r="139" spans="2:14" ht="14.25" x14ac:dyDescent="0.2">
      <c r="B139" s="13"/>
      <c r="C139" s="14"/>
      <c r="D139" s="14"/>
      <c r="E139" s="14"/>
      <c r="F139" s="14"/>
      <c r="H139" s="1">
        <f>SUM(H131:H138)-H133</f>
        <v>100.00000000000001</v>
      </c>
      <c r="I139" t="s">
        <v>2</v>
      </c>
    </row>
    <row r="140" spans="2:14" ht="14.25" x14ac:dyDescent="0.2">
      <c r="B140" s="13"/>
      <c r="C140" s="14"/>
      <c r="D140" s="14"/>
      <c r="E140" s="14"/>
      <c r="F140" s="14"/>
    </row>
    <row r="141" spans="2:14" ht="14.25" x14ac:dyDescent="0.2">
      <c r="B141" s="13" t="s">
        <v>7</v>
      </c>
      <c r="C141" s="14" t="s">
        <v>81</v>
      </c>
      <c r="D141" s="14" t="s">
        <v>62</v>
      </c>
      <c r="E141" s="14"/>
      <c r="F141" s="14"/>
      <c r="H141" s="149">
        <f>'option 3.2 modernised pack targ'!H150</f>
        <v>76.266452509653249</v>
      </c>
      <c r="I141" t="s">
        <v>2</v>
      </c>
    </row>
    <row r="142" spans="2:14" ht="14.25" x14ac:dyDescent="0.2">
      <c r="B142" s="15"/>
      <c r="C142" s="14"/>
      <c r="D142" s="14" t="s">
        <v>63</v>
      </c>
      <c r="E142" s="14"/>
      <c r="F142" s="14"/>
      <c r="H142" s="150">
        <f>'option 3.2 modernised pack targ'!H151</f>
        <v>0</v>
      </c>
      <c r="I142" t="s">
        <v>2</v>
      </c>
    </row>
    <row r="143" spans="2:14" ht="14.25" x14ac:dyDescent="0.2">
      <c r="B143" s="13"/>
      <c r="C143" s="14"/>
      <c r="D143" s="36" t="s">
        <v>76</v>
      </c>
      <c r="E143" s="36"/>
      <c r="F143" s="36"/>
      <c r="G143" s="37"/>
      <c r="H143" s="207">
        <f>'option 3.2 modernised pack targ'!H152</f>
        <v>0.68158711500309332</v>
      </c>
      <c r="I143" s="37" t="s">
        <v>2</v>
      </c>
    </row>
    <row r="144" spans="2:14" ht="14.25" x14ac:dyDescent="0.2">
      <c r="B144" s="13"/>
      <c r="C144" s="14"/>
      <c r="D144" s="14" t="s">
        <v>113</v>
      </c>
      <c r="E144" s="14"/>
      <c r="F144" s="14"/>
      <c r="H144" s="150">
        <f>'option 3.2 modernised pack targ'!H153</f>
        <v>0.57654911576406365</v>
      </c>
      <c r="I144" t="s">
        <v>2</v>
      </c>
    </row>
    <row r="145" spans="2:9" ht="14.25" x14ac:dyDescent="0.2">
      <c r="B145" s="13"/>
      <c r="C145" s="14"/>
      <c r="D145" s="14" t="s">
        <v>114</v>
      </c>
      <c r="E145" s="14"/>
      <c r="F145" s="14"/>
      <c r="H145" s="150">
        <f>'option 3.2 modernised pack targ'!H154</f>
        <v>0.10503799923902965</v>
      </c>
      <c r="I145" t="s">
        <v>2</v>
      </c>
    </row>
    <row r="146" spans="2:9" ht="14.25" x14ac:dyDescent="0.2">
      <c r="B146" s="13"/>
      <c r="C146" s="14"/>
      <c r="D146" s="14" t="s">
        <v>65</v>
      </c>
      <c r="E146" s="14"/>
      <c r="F146" s="14"/>
      <c r="H146" s="150">
        <f>'option 3.2 modernised pack targ'!H155</f>
        <v>8.5929065463644907</v>
      </c>
      <c r="I146" t="s">
        <v>2</v>
      </c>
    </row>
    <row r="147" spans="2:9" ht="14.25" x14ac:dyDescent="0.2">
      <c r="B147" s="13"/>
      <c r="C147" s="14"/>
      <c r="D147" s="14" t="s">
        <v>106</v>
      </c>
      <c r="E147" s="21"/>
      <c r="F147" s="21"/>
      <c r="H147" s="150">
        <f>'option 3.2 modernised pack targ'!H156</f>
        <v>13.652331592648871</v>
      </c>
      <c r="I147" t="s">
        <v>2</v>
      </c>
    </row>
    <row r="148" spans="2:9" ht="14.25" x14ac:dyDescent="0.2">
      <c r="B148" s="15"/>
      <c r="C148" s="14"/>
      <c r="D148" s="14" t="s">
        <v>82</v>
      </c>
      <c r="H148" s="151">
        <f>'option 3.2 modernised pack targ'!H157</f>
        <v>0.80672223633030016</v>
      </c>
      <c r="I148" t="s">
        <v>2</v>
      </c>
    </row>
    <row r="149" spans="2:9" x14ac:dyDescent="0.2">
      <c r="H149" s="1">
        <f>'option 3.2 modernised pack targ'!H158</f>
        <v>100.00000000000001</v>
      </c>
      <c r="I149" t="s">
        <v>2</v>
      </c>
    </row>
    <row r="152" spans="2:9" x14ac:dyDescent="0.2">
      <c r="B152" s="84" t="s">
        <v>85</v>
      </c>
    </row>
    <row r="153" spans="2:9" x14ac:dyDescent="0.2">
      <c r="B153" t="s">
        <v>212</v>
      </c>
      <c r="C153" s="53"/>
    </row>
    <row r="154" spans="2:9" x14ac:dyDescent="0.2">
      <c r="D154">
        <v>2012</v>
      </c>
      <c r="E154">
        <v>2020</v>
      </c>
    </row>
    <row r="155" spans="2:9" x14ac:dyDescent="0.2">
      <c r="B155" t="s">
        <v>86</v>
      </c>
      <c r="D155" s="2">
        <f>'option 2 single calculation met'!D149</f>
        <v>34.3115250426887</v>
      </c>
      <c r="E155" s="55">
        <f>'option 2 single calculation met'!E149</f>
        <v>34.3115250426887</v>
      </c>
    </row>
    <row r="156" spans="2:9" x14ac:dyDescent="0.2">
      <c r="B156" t="s">
        <v>87</v>
      </c>
      <c r="D156" s="2">
        <f>'option 2 single calculation met'!D150</f>
        <v>71.162589235423198</v>
      </c>
      <c r="E156" s="55">
        <f>'option 2 single calculation met'!E150</f>
        <v>71.162589235423198</v>
      </c>
    </row>
    <row r="157" spans="2:9" x14ac:dyDescent="0.2">
      <c r="B157" s="37" t="s">
        <v>88</v>
      </c>
      <c r="C157" s="37"/>
      <c r="D157" s="208">
        <f>'option 2 single calculation met'!D151</f>
        <v>72.277569276209135</v>
      </c>
      <c r="E157" s="208">
        <f>'option 2 single calculation met'!E151</f>
        <v>72.277569276209135</v>
      </c>
    </row>
    <row r="158" spans="2:9" x14ac:dyDescent="0.2">
      <c r="B158" t="s">
        <v>110</v>
      </c>
      <c r="D158" s="2">
        <f>'option 3.2 modernised pack targ'!D165</f>
        <v>56.535148150433997</v>
      </c>
      <c r="E158" s="55">
        <f>'option 3.3 limiting landfill'!D158</f>
        <v>56.535148150433997</v>
      </c>
    </row>
    <row r="159" spans="2:9" x14ac:dyDescent="0.2">
      <c r="B159" t="s">
        <v>111</v>
      </c>
      <c r="D159" s="2">
        <f>'option 3.2 modernised pack targ'!D166</f>
        <v>74.911593431091845</v>
      </c>
      <c r="E159" s="55">
        <f>'option 3.3 limiting landfill'!D159</f>
        <v>74.911593431091845</v>
      </c>
    </row>
    <row r="160" spans="2:9" x14ac:dyDescent="0.2">
      <c r="B160" t="s">
        <v>89</v>
      </c>
      <c r="D160" s="2">
        <f>'option 2 single calculation met'!D152</f>
        <v>82.956538079896461</v>
      </c>
      <c r="E160" s="55">
        <f>'option 2 single calculation met'!E152</f>
        <v>82.956538079896461</v>
      </c>
    </row>
    <row r="161" spans="2:47" x14ac:dyDescent="0.2">
      <c r="B161" t="s">
        <v>104</v>
      </c>
      <c r="D161" s="2">
        <f>'option 2 single calculation met'!D153</f>
        <v>37.687432530831366</v>
      </c>
      <c r="E161" s="55">
        <f>'option 2 single calculation met'!E153</f>
        <v>37.687432530831366</v>
      </c>
    </row>
    <row r="163" spans="2:47" x14ac:dyDescent="0.2">
      <c r="B163" t="s">
        <v>23</v>
      </c>
    </row>
    <row r="164" spans="2:47" x14ac:dyDescent="0.2">
      <c r="F164" t="s">
        <v>24</v>
      </c>
      <c r="G164" t="s">
        <v>197</v>
      </c>
      <c r="H164" t="s">
        <v>90</v>
      </c>
      <c r="I164" s="1"/>
    </row>
    <row r="165" spans="2:47" x14ac:dyDescent="0.2">
      <c r="B165" t="s">
        <v>86</v>
      </c>
      <c r="D165" s="2">
        <f>100-D155</f>
        <v>65.6884749573113</v>
      </c>
      <c r="E165" s="2">
        <f>100-E155</f>
        <v>65.6884749573113</v>
      </c>
      <c r="F165">
        <f>D165-E165</f>
        <v>0</v>
      </c>
      <c r="G165">
        <f>F165/D165*100</f>
        <v>0</v>
      </c>
      <c r="H165" s="65">
        <f>IF(G165&gt;0,G165,0)</f>
        <v>0</v>
      </c>
      <c r="I165" s="1" t="s">
        <v>2</v>
      </c>
    </row>
    <row r="166" spans="2:47" x14ac:dyDescent="0.2">
      <c r="B166" t="s">
        <v>87</v>
      </c>
      <c r="D166" s="2">
        <f t="shared" ref="D166:E166" si="76">100-D156</f>
        <v>28.837410764576802</v>
      </c>
      <c r="E166" s="2">
        <f t="shared" si="76"/>
        <v>28.837410764576802</v>
      </c>
      <c r="F166">
        <f t="shared" ref="F166:F170" si="77">D166-E166</f>
        <v>0</v>
      </c>
      <c r="G166">
        <f t="shared" ref="G166:G170" si="78">F166/D166*100</f>
        <v>0</v>
      </c>
      <c r="H166" s="228">
        <f t="shared" ref="H166:H170" si="79">IF(G166&gt;0,G166,0)</f>
        <v>0</v>
      </c>
      <c r="I166" s="1" t="s">
        <v>2</v>
      </c>
    </row>
    <row r="167" spans="2:47" x14ac:dyDescent="0.2">
      <c r="B167" t="s">
        <v>110</v>
      </c>
      <c r="D167" s="2">
        <f>100-D158</f>
        <v>43.464851849566003</v>
      </c>
      <c r="E167" s="2">
        <f>100-E158</f>
        <v>43.464851849566003</v>
      </c>
      <c r="F167">
        <f t="shared" si="77"/>
        <v>0</v>
      </c>
      <c r="G167">
        <f t="shared" si="78"/>
        <v>0</v>
      </c>
      <c r="H167" s="228">
        <f t="shared" si="79"/>
        <v>0</v>
      </c>
      <c r="I167" s="1" t="s">
        <v>2</v>
      </c>
    </row>
    <row r="168" spans="2:47" x14ac:dyDescent="0.2">
      <c r="B168" t="s">
        <v>111</v>
      </c>
      <c r="D168" s="2">
        <f t="shared" ref="D168:E170" si="80">100-D159</f>
        <v>25.088406568908155</v>
      </c>
      <c r="E168" s="2">
        <f t="shared" si="80"/>
        <v>25.088406568908155</v>
      </c>
      <c r="F168">
        <f t="shared" si="77"/>
        <v>0</v>
      </c>
      <c r="G168">
        <f t="shared" si="78"/>
        <v>0</v>
      </c>
      <c r="H168" s="228">
        <f t="shared" si="79"/>
        <v>0</v>
      </c>
      <c r="I168" s="1" t="s">
        <v>2</v>
      </c>
    </row>
    <row r="169" spans="2:47" x14ac:dyDescent="0.2">
      <c r="B169" t="s">
        <v>89</v>
      </c>
      <c r="D169" s="2">
        <f t="shared" si="80"/>
        <v>17.043461920103539</v>
      </c>
      <c r="E169" s="2">
        <f t="shared" si="80"/>
        <v>17.043461920103539</v>
      </c>
      <c r="F169">
        <f t="shared" si="77"/>
        <v>0</v>
      </c>
      <c r="G169">
        <f t="shared" si="78"/>
        <v>0</v>
      </c>
      <c r="H169" s="228">
        <f t="shared" si="79"/>
        <v>0</v>
      </c>
      <c r="I169" s="1" t="s">
        <v>2</v>
      </c>
    </row>
    <row r="170" spans="2:47" x14ac:dyDescent="0.2">
      <c r="B170" t="s">
        <v>104</v>
      </c>
      <c r="D170" s="2">
        <f t="shared" si="80"/>
        <v>62.312567469168634</v>
      </c>
      <c r="E170" s="2">
        <f t="shared" si="80"/>
        <v>62.312567469168634</v>
      </c>
      <c r="F170">
        <f t="shared" si="77"/>
        <v>0</v>
      </c>
      <c r="G170">
        <f t="shared" si="78"/>
        <v>0</v>
      </c>
      <c r="H170" s="229">
        <f t="shared" si="79"/>
        <v>0</v>
      </c>
      <c r="I170" s="1" t="s">
        <v>2</v>
      </c>
    </row>
    <row r="173" spans="2:47" x14ac:dyDescent="0.2">
      <c r="B173" s="84" t="s">
        <v>92</v>
      </c>
      <c r="C173" s="53"/>
    </row>
    <row r="174" spans="2:47" x14ac:dyDescent="0.2">
      <c r="B174" t="str">
        <f>'option 3.2 modernised pack targ'!B182</f>
        <v>as in option 1</v>
      </c>
    </row>
    <row r="175" spans="2:47" ht="14.25" x14ac:dyDescent="0.2">
      <c r="B175" s="12" t="s">
        <v>93</v>
      </c>
      <c r="C175" s="12" t="s">
        <v>69</v>
      </c>
      <c r="D175" s="12" t="s">
        <v>70</v>
      </c>
      <c r="E175" s="12" t="s">
        <v>73</v>
      </c>
    </row>
    <row r="176" spans="2:47" ht="14.25" x14ac:dyDescent="0.2">
      <c r="B176" s="14" t="s">
        <v>63</v>
      </c>
      <c r="C176" s="13">
        <f>'option 3.2 modernised pack targ'!C184</f>
        <v>219</v>
      </c>
      <c r="D176" s="14" t="s">
        <v>35</v>
      </c>
      <c r="E176" s="14" t="s">
        <v>34</v>
      </c>
      <c r="G176" s="20" t="s">
        <v>62</v>
      </c>
      <c r="H176" s="1">
        <f>C180/C182*100</f>
        <v>43.469327854417379</v>
      </c>
      <c r="I176" s="21" t="s">
        <v>2</v>
      </c>
      <c r="AP176" s="4"/>
      <c r="AQ176" s="4"/>
      <c r="AR176" s="4"/>
      <c r="AS176" s="4"/>
      <c r="AT176" s="4"/>
      <c r="AU176" s="4"/>
    </row>
    <row r="177" spans="1:47" s="4" customFormat="1" ht="14.25" x14ac:dyDescent="0.2">
      <c r="A177"/>
      <c r="B177" s="14" t="s">
        <v>64</v>
      </c>
      <c r="C177" s="13">
        <f>'option 3.2 modernised pack targ'!C185</f>
        <v>1062</v>
      </c>
      <c r="D177" s="14" t="s">
        <v>35</v>
      </c>
      <c r="E177" s="14" t="s">
        <v>34</v>
      </c>
      <c r="F177"/>
      <c r="G177" s="20" t="s">
        <v>63</v>
      </c>
      <c r="H177" s="1">
        <f>C176/C182*100</f>
        <v>2.1426474904608162</v>
      </c>
      <c r="I177" s="21" t="s">
        <v>2</v>
      </c>
      <c r="J177"/>
      <c r="K177"/>
      <c r="L177"/>
      <c r="M177"/>
      <c r="N177"/>
      <c r="O177"/>
      <c r="P177"/>
      <c r="Q177"/>
      <c r="R177" s="1"/>
      <c r="S177"/>
      <c r="T177"/>
      <c r="U177"/>
      <c r="V177"/>
      <c r="W177"/>
      <c r="X177"/>
      <c r="Y177"/>
      <c r="AP177"/>
      <c r="AQ177"/>
      <c r="AR177"/>
      <c r="AS177"/>
      <c r="AT177"/>
      <c r="AU177"/>
    </row>
    <row r="178" spans="1:47" ht="14.25" x14ac:dyDescent="0.2">
      <c r="B178" s="14" t="s">
        <v>82</v>
      </c>
      <c r="C178" s="13">
        <f>'option 3.2 modernised pack targ'!C186</f>
        <v>1000</v>
      </c>
      <c r="D178" s="14" t="s">
        <v>35</v>
      </c>
      <c r="E178" s="14" t="s">
        <v>34</v>
      </c>
      <c r="G178" s="20" t="s">
        <v>76</v>
      </c>
      <c r="H178" s="1">
        <f>C177/C182*100</f>
        <v>10.390372761960668</v>
      </c>
      <c r="I178" s="21" t="s">
        <v>2</v>
      </c>
    </row>
    <row r="179" spans="1:47" ht="14.25" x14ac:dyDescent="0.2">
      <c r="B179" s="14" t="s">
        <v>65</v>
      </c>
      <c r="C179" s="13">
        <f>'option 3.2 modernised pack targ'!C187</f>
        <v>3268</v>
      </c>
      <c r="D179" s="14" t="s">
        <v>35</v>
      </c>
      <c r="E179" s="14" t="s">
        <v>34</v>
      </c>
      <c r="G179" s="21" t="s">
        <v>65</v>
      </c>
      <c r="H179" s="1">
        <f>C179/C182*100</f>
        <v>31.973388122492906</v>
      </c>
      <c r="I179" s="21" t="s">
        <v>2</v>
      </c>
    </row>
    <row r="180" spans="1:47" ht="14.25" x14ac:dyDescent="0.2">
      <c r="B180" s="14" t="s">
        <v>94</v>
      </c>
      <c r="C180" s="13">
        <f>'option 3.2 modernised pack targ'!C188</f>
        <v>4443</v>
      </c>
      <c r="D180" s="14" t="s">
        <v>35</v>
      </c>
      <c r="E180" s="14" t="s">
        <v>34</v>
      </c>
      <c r="G180" s="21" t="s">
        <v>106</v>
      </c>
      <c r="H180" s="1">
        <f>C181/C182*100</f>
        <v>2.2404852754133646</v>
      </c>
      <c r="I180" s="21" t="s">
        <v>2</v>
      </c>
    </row>
    <row r="181" spans="1:47" ht="14.25" x14ac:dyDescent="0.2">
      <c r="B181" s="14" t="s">
        <v>106</v>
      </c>
      <c r="C181" s="13">
        <f>'option 3.2 modernised pack targ'!C189</f>
        <v>229</v>
      </c>
      <c r="D181" s="14" t="s">
        <v>35</v>
      </c>
      <c r="E181" s="14" t="s">
        <v>34</v>
      </c>
      <c r="G181" s="21" t="s">
        <v>82</v>
      </c>
      <c r="H181" s="1">
        <f>C178/C182*100</f>
        <v>9.7837784952548681</v>
      </c>
      <c r="I181" s="21" t="s">
        <v>2</v>
      </c>
      <c r="Y181" s="4"/>
    </row>
    <row r="182" spans="1:47" ht="14.25" x14ac:dyDescent="0.2">
      <c r="A182" s="4"/>
      <c r="B182" s="22"/>
      <c r="C182" s="15">
        <f>SUM(C176:C181)</f>
        <v>10221</v>
      </c>
      <c r="D182" s="22"/>
      <c r="E182" s="22"/>
      <c r="F182" s="4"/>
      <c r="G182" s="4"/>
      <c r="H182" s="16">
        <f>SUM(H176:H181)</f>
        <v>100</v>
      </c>
      <c r="I182" s="4"/>
      <c r="J182" s="4"/>
      <c r="K182" s="4"/>
      <c r="L182" s="4"/>
      <c r="M182" s="4"/>
      <c r="N182" s="4"/>
      <c r="O182" s="4"/>
    </row>
    <row r="183" spans="1:47" ht="14.25" x14ac:dyDescent="0.2">
      <c r="B183" s="14" t="s">
        <v>63</v>
      </c>
      <c r="C183" s="13">
        <f>'option 3.2 modernised pack targ'!C191</f>
        <v>24</v>
      </c>
      <c r="D183" s="14" t="s">
        <v>36</v>
      </c>
      <c r="E183" s="14" t="s">
        <v>34</v>
      </c>
      <c r="G183" s="20" t="s">
        <v>62</v>
      </c>
      <c r="H183" s="1">
        <f>C187/C189*100</f>
        <v>40.438512869399432</v>
      </c>
      <c r="I183" s="21" t="s">
        <v>2</v>
      </c>
      <c r="AP183" s="4"/>
      <c r="AQ183" s="4"/>
      <c r="AR183" s="4"/>
      <c r="AS183" s="4"/>
      <c r="AT183" s="4"/>
      <c r="AU183" s="4"/>
    </row>
    <row r="184" spans="1:47" s="4" customFormat="1" ht="14.25" x14ac:dyDescent="0.2">
      <c r="A184"/>
      <c r="B184" s="14" t="s">
        <v>64</v>
      </c>
      <c r="C184" s="13">
        <f>'option 3.2 modernised pack targ'!C192</f>
        <v>474</v>
      </c>
      <c r="D184" s="14" t="s">
        <v>36</v>
      </c>
      <c r="E184" s="14" t="s">
        <v>34</v>
      </c>
      <c r="F184"/>
      <c r="G184" s="20" t="s">
        <v>63</v>
      </c>
      <c r="H184" s="1">
        <f>C183/C189*100</f>
        <v>0.45757864632983797</v>
      </c>
      <c r="I184" s="21" t="s">
        <v>2</v>
      </c>
      <c r="J184"/>
      <c r="K184"/>
      <c r="L184"/>
      <c r="M184"/>
      <c r="N184"/>
      <c r="O184"/>
      <c r="P184"/>
      <c r="Q184"/>
      <c r="R184" s="1"/>
      <c r="S184"/>
      <c r="T184"/>
      <c r="U184"/>
      <c r="V184"/>
      <c r="W184"/>
      <c r="X184"/>
      <c r="Y184"/>
      <c r="AP184"/>
      <c r="AQ184"/>
      <c r="AR184"/>
      <c r="AS184"/>
      <c r="AT184"/>
      <c r="AU184"/>
    </row>
    <row r="185" spans="1:47" ht="14.25" x14ac:dyDescent="0.2">
      <c r="B185" s="14" t="s">
        <v>82</v>
      </c>
      <c r="C185" s="13">
        <f>'option 3.2 modernised pack targ'!C193</f>
        <v>171</v>
      </c>
      <c r="D185" s="14" t="s">
        <v>36</v>
      </c>
      <c r="E185" s="14" t="s">
        <v>34</v>
      </c>
      <c r="G185" s="20" t="s">
        <v>76</v>
      </c>
      <c r="H185" s="1">
        <f>C184/C189*100</f>
        <v>9.0371782650142993</v>
      </c>
      <c r="I185" s="21" t="s">
        <v>2</v>
      </c>
    </row>
    <row r="186" spans="1:47" ht="14.25" x14ac:dyDescent="0.2">
      <c r="B186" s="14" t="s">
        <v>65</v>
      </c>
      <c r="C186" s="13">
        <f>'option 3.2 modernised pack targ'!C194</f>
        <v>2386</v>
      </c>
      <c r="D186" s="14" t="s">
        <v>36</v>
      </c>
      <c r="E186" s="14" t="s">
        <v>34</v>
      </c>
      <c r="G186" s="21" t="s">
        <v>65</v>
      </c>
      <c r="H186" s="1">
        <f>C186/C189*100</f>
        <v>45.490943755958057</v>
      </c>
      <c r="I186" s="21" t="s">
        <v>2</v>
      </c>
    </row>
    <row r="187" spans="1:47" ht="14.25" x14ac:dyDescent="0.2">
      <c r="B187" s="14" t="s">
        <v>94</v>
      </c>
      <c r="C187" s="13">
        <f>'option 3.2 modernised pack targ'!C195</f>
        <v>2121</v>
      </c>
      <c r="D187" s="14" t="s">
        <v>36</v>
      </c>
      <c r="E187" s="14" t="s">
        <v>34</v>
      </c>
      <c r="G187" s="21" t="s">
        <v>106</v>
      </c>
      <c r="H187" s="1">
        <f>C188/C189*100</f>
        <v>1.3155386081982841</v>
      </c>
      <c r="I187" s="21" t="s">
        <v>2</v>
      </c>
    </row>
    <row r="188" spans="1:47" ht="14.25" x14ac:dyDescent="0.2">
      <c r="B188" s="14" t="s">
        <v>106</v>
      </c>
      <c r="C188" s="13">
        <f>'option 3.2 modernised pack targ'!C196</f>
        <v>69</v>
      </c>
      <c r="D188" s="14" t="s">
        <v>36</v>
      </c>
      <c r="E188" s="14" t="s">
        <v>34</v>
      </c>
      <c r="G188" s="21" t="s">
        <v>82</v>
      </c>
      <c r="H188" s="1">
        <f>C185/C189*100</f>
        <v>3.2602478551000948</v>
      </c>
      <c r="I188" s="21" t="s">
        <v>2</v>
      </c>
      <c r="Y188" s="4"/>
    </row>
    <row r="189" spans="1:47" ht="14.25" x14ac:dyDescent="0.2">
      <c r="A189" s="4"/>
      <c r="B189" s="22"/>
      <c r="C189" s="15">
        <f>SUM(C183:C188)</f>
        <v>5245</v>
      </c>
      <c r="D189" s="22"/>
      <c r="E189" s="22"/>
      <c r="F189" s="4"/>
      <c r="G189" s="4"/>
      <c r="H189" s="16">
        <f>SUM(H183:H188)</f>
        <v>99.999999999999986</v>
      </c>
      <c r="I189" s="4"/>
      <c r="J189" s="4"/>
      <c r="K189" s="4"/>
      <c r="L189" s="4"/>
      <c r="M189" s="4"/>
      <c r="N189" s="4"/>
      <c r="O189" s="4"/>
    </row>
    <row r="190" spans="1:47" ht="14.25" x14ac:dyDescent="0.2">
      <c r="B190" s="14" t="s">
        <v>63</v>
      </c>
      <c r="C190" s="13">
        <f>'option 3.2 modernised pack targ'!C198</f>
        <v>923</v>
      </c>
      <c r="D190" s="14" t="s">
        <v>37</v>
      </c>
      <c r="E190" s="14" t="s">
        <v>34</v>
      </c>
      <c r="G190" s="20" t="s">
        <v>62</v>
      </c>
      <c r="H190" s="1">
        <f>C194/C196*100</f>
        <v>61.523569023569024</v>
      </c>
      <c r="I190" s="21" t="s">
        <v>2</v>
      </c>
      <c r="AP190" s="4"/>
      <c r="AQ190" s="4"/>
      <c r="AR190" s="4"/>
      <c r="AS190" s="4"/>
      <c r="AT190" s="4"/>
      <c r="AU190" s="4"/>
    </row>
    <row r="191" spans="1:47" s="4" customFormat="1" ht="14.25" x14ac:dyDescent="0.2">
      <c r="A191"/>
      <c r="B191" s="14" t="s">
        <v>64</v>
      </c>
      <c r="C191" s="13">
        <f>'option 3.2 modernised pack targ'!C199</f>
        <v>523</v>
      </c>
      <c r="D191" s="14" t="s">
        <v>37</v>
      </c>
      <c r="E191" s="14" t="s">
        <v>34</v>
      </c>
      <c r="F191"/>
      <c r="G191" s="20" t="s">
        <v>63</v>
      </c>
      <c r="H191" s="1">
        <f>C190/C196*100</f>
        <v>3.8846801346801345</v>
      </c>
      <c r="I191" s="21" t="s">
        <v>2</v>
      </c>
      <c r="J191"/>
      <c r="K191"/>
      <c r="L191"/>
      <c r="M191"/>
      <c r="N191"/>
      <c r="O191"/>
      <c r="P191"/>
      <c r="Q191"/>
      <c r="R191" s="1"/>
      <c r="S191"/>
      <c r="T191"/>
      <c r="U191"/>
      <c r="V191"/>
      <c r="Y191"/>
      <c r="AP191"/>
      <c r="AQ191"/>
      <c r="AR191"/>
      <c r="AS191"/>
      <c r="AT191"/>
      <c r="AU191"/>
    </row>
    <row r="192" spans="1:47" ht="14.25" x14ac:dyDescent="0.2">
      <c r="B192" s="14" t="s">
        <v>82</v>
      </c>
      <c r="C192" s="13">
        <f>'option 3.2 modernised pack targ'!C200</f>
        <v>2092</v>
      </c>
      <c r="D192" s="14" t="s">
        <v>37</v>
      </c>
      <c r="E192" s="14" t="s">
        <v>34</v>
      </c>
      <c r="G192" s="20" t="s">
        <v>76</v>
      </c>
      <c r="H192" s="1">
        <f>C191/C196*100</f>
        <v>2.2011784511784511</v>
      </c>
      <c r="I192" s="21" t="s">
        <v>2</v>
      </c>
      <c r="U192" s="4"/>
      <c r="V192" s="4"/>
    </row>
    <row r="193" spans="1:47" ht="14.25" x14ac:dyDescent="0.2">
      <c r="B193" s="14" t="s">
        <v>65</v>
      </c>
      <c r="C193" s="13">
        <f>'option 3.2 modernised pack targ'!C201</f>
        <v>5566</v>
      </c>
      <c r="D193" s="14" t="s">
        <v>37</v>
      </c>
      <c r="E193" s="14" t="s">
        <v>34</v>
      </c>
      <c r="G193" s="21" t="s">
        <v>65</v>
      </c>
      <c r="H193" s="1">
        <f>C193/C196*100</f>
        <v>23.425925925925924</v>
      </c>
      <c r="I193" s="21" t="s">
        <v>2</v>
      </c>
      <c r="S193" s="4"/>
      <c r="T193" s="4"/>
    </row>
    <row r="194" spans="1:47" ht="14.25" x14ac:dyDescent="0.2">
      <c r="B194" s="14" t="s">
        <v>94</v>
      </c>
      <c r="C194" s="13">
        <f>'option 3.2 modernised pack targ'!C202</f>
        <v>14618</v>
      </c>
      <c r="D194" s="14" t="s">
        <v>37</v>
      </c>
      <c r="E194" s="14" t="s">
        <v>34</v>
      </c>
      <c r="G194" s="21" t="s">
        <v>106</v>
      </c>
      <c r="H194" s="1">
        <f>C195/C196*100</f>
        <v>0.15993265993265993</v>
      </c>
      <c r="I194" s="21" t="s">
        <v>2</v>
      </c>
      <c r="P194" s="4"/>
      <c r="Q194" s="4"/>
      <c r="R194" s="16"/>
    </row>
    <row r="195" spans="1:47" ht="14.25" x14ac:dyDescent="0.2">
      <c r="B195" s="14" t="s">
        <v>106</v>
      </c>
      <c r="C195" s="13">
        <f>'option 3.2 modernised pack targ'!C203</f>
        <v>38</v>
      </c>
      <c r="D195" s="14" t="s">
        <v>37</v>
      </c>
      <c r="E195" s="14" t="s">
        <v>34</v>
      </c>
      <c r="G195" s="21" t="s">
        <v>82</v>
      </c>
      <c r="H195" s="1">
        <f>C192/C196*100</f>
        <v>8.8047138047138045</v>
      </c>
      <c r="I195" s="21" t="s">
        <v>2</v>
      </c>
      <c r="Y195" s="4"/>
    </row>
    <row r="196" spans="1:47" ht="14.25" x14ac:dyDescent="0.2">
      <c r="A196" s="4"/>
      <c r="B196" s="22"/>
      <c r="C196" s="15">
        <f>SUM(C190:C195)</f>
        <v>23760</v>
      </c>
      <c r="D196" s="22"/>
      <c r="E196" s="22"/>
      <c r="F196" s="4"/>
      <c r="G196" s="4"/>
      <c r="H196" s="16">
        <f>SUM(H190:H195)</f>
        <v>100</v>
      </c>
      <c r="I196" s="4"/>
      <c r="J196" s="4"/>
      <c r="K196" s="4"/>
      <c r="L196" s="4"/>
      <c r="M196" s="4"/>
      <c r="N196" s="4"/>
      <c r="O196" s="4"/>
    </row>
    <row r="197" spans="1:47" ht="14.25" x14ac:dyDescent="0.2">
      <c r="B197" s="14" t="s">
        <v>63</v>
      </c>
      <c r="C197" s="13">
        <f>'option 3.2 modernised pack targ'!C205</f>
        <v>171</v>
      </c>
      <c r="D197" s="14" t="s">
        <v>31</v>
      </c>
      <c r="E197" s="14" t="s">
        <v>34</v>
      </c>
      <c r="G197" s="20" t="s">
        <v>62</v>
      </c>
      <c r="H197" s="1">
        <f>C201/C203*100</f>
        <v>66.364394413174892</v>
      </c>
      <c r="I197" s="21" t="s">
        <v>2</v>
      </c>
      <c r="AP197" s="4"/>
      <c r="AQ197" s="4"/>
      <c r="AR197" s="4"/>
      <c r="AS197" s="4"/>
      <c r="AT197" s="4"/>
      <c r="AU197" s="4"/>
    </row>
    <row r="198" spans="1:47" s="4" customFormat="1" ht="14.25" x14ac:dyDescent="0.2">
      <c r="A198"/>
      <c r="B198" s="14" t="s">
        <v>64</v>
      </c>
      <c r="C198" s="13">
        <f>'option 3.2 modernised pack targ'!C206</f>
        <v>726</v>
      </c>
      <c r="D198" s="14" t="s">
        <v>31</v>
      </c>
      <c r="E198" s="14" t="s">
        <v>34</v>
      </c>
      <c r="F198"/>
      <c r="G198" s="20" t="s">
        <v>63</v>
      </c>
      <c r="H198" s="1">
        <f>C197/C203*100</f>
        <v>0.59412132582864297</v>
      </c>
      <c r="I198" s="21" t="s">
        <v>2</v>
      </c>
      <c r="J198"/>
      <c r="K198"/>
      <c r="L198"/>
      <c r="M198"/>
      <c r="N198"/>
      <c r="O198"/>
      <c r="P198"/>
      <c r="Q198"/>
      <c r="R198" s="1"/>
      <c r="S198"/>
      <c r="T198"/>
      <c r="U198"/>
      <c r="V198"/>
      <c r="Y198"/>
      <c r="AP198"/>
      <c r="AQ198"/>
      <c r="AR198"/>
      <c r="AS198"/>
      <c r="AT198"/>
      <c r="AU198"/>
    </row>
    <row r="199" spans="1:47" ht="14.25" x14ac:dyDescent="0.2">
      <c r="B199" s="14" t="s">
        <v>82</v>
      </c>
      <c r="C199" s="13">
        <f>'option 3.2 modernised pack targ'!C207</f>
        <v>6380</v>
      </c>
      <c r="D199" s="14" t="s">
        <v>31</v>
      </c>
      <c r="E199" s="14" t="s">
        <v>34</v>
      </c>
      <c r="G199" s="20" t="s">
        <v>76</v>
      </c>
      <c r="H199" s="1">
        <f>C198/C203*100</f>
        <v>2.5224098394830103</v>
      </c>
      <c r="I199" s="21" t="s">
        <v>2</v>
      </c>
      <c r="U199" s="4"/>
      <c r="V199" s="4"/>
    </row>
    <row r="200" spans="1:47" ht="14.25" x14ac:dyDescent="0.2">
      <c r="B200" s="14" t="s">
        <v>65</v>
      </c>
      <c r="C200" s="13">
        <f>'option 3.2 modernised pack targ'!C208</f>
        <v>2092</v>
      </c>
      <c r="D200" s="14" t="s">
        <v>31</v>
      </c>
      <c r="E200" s="14" t="s">
        <v>34</v>
      </c>
      <c r="G200" s="21" t="s">
        <v>65</v>
      </c>
      <c r="H200" s="1">
        <f>C200/C203*100</f>
        <v>7.2684316586755617</v>
      </c>
      <c r="I200" s="21" t="s">
        <v>2</v>
      </c>
      <c r="S200" s="4"/>
      <c r="T200" s="4"/>
    </row>
    <row r="201" spans="1:47" ht="14.25" x14ac:dyDescent="0.2">
      <c r="B201" s="14" t="s">
        <v>94</v>
      </c>
      <c r="C201" s="13">
        <f>'option 3.2 modernised pack targ'!C209</f>
        <v>19101</v>
      </c>
      <c r="D201" s="14" t="s">
        <v>31</v>
      </c>
      <c r="E201" s="14" t="s">
        <v>34</v>
      </c>
      <c r="G201" s="21" t="s">
        <v>106</v>
      </c>
      <c r="H201" s="1">
        <f>C202/C203*100</f>
        <v>1.084010840108401</v>
      </c>
      <c r="I201" s="21" t="s">
        <v>2</v>
      </c>
      <c r="P201" s="4"/>
      <c r="Q201" s="4"/>
      <c r="R201" s="16"/>
    </row>
    <row r="202" spans="1:47" ht="14.25" x14ac:dyDescent="0.2">
      <c r="B202" s="21" t="s">
        <v>106</v>
      </c>
      <c r="C202" s="13">
        <f>'option 3.2 modernised pack targ'!C210</f>
        <v>312</v>
      </c>
      <c r="D202" s="21" t="s">
        <v>31</v>
      </c>
      <c r="E202" s="21" t="s">
        <v>34</v>
      </c>
      <c r="G202" s="21" t="s">
        <v>82</v>
      </c>
      <c r="H202" s="1">
        <f>C199/C203*100</f>
        <v>22.166631922729486</v>
      </c>
      <c r="I202" s="21" t="s">
        <v>2</v>
      </c>
      <c r="Y202" s="4"/>
    </row>
    <row r="203" spans="1:47" ht="14.25" x14ac:dyDescent="0.2">
      <c r="A203" s="4"/>
      <c r="B203" s="4"/>
      <c r="C203" s="15">
        <f>SUM(C197:C202)</f>
        <v>28782</v>
      </c>
      <c r="D203" s="4"/>
      <c r="E203" s="4"/>
      <c r="F203" s="4"/>
      <c r="G203" s="4"/>
      <c r="H203" s="16">
        <f>SUM(H197:H202)</f>
        <v>100</v>
      </c>
      <c r="I203" s="4"/>
      <c r="J203" s="4"/>
      <c r="K203" s="4"/>
      <c r="L203" s="4"/>
      <c r="M203" s="4"/>
      <c r="N203" s="4"/>
      <c r="O203" s="4"/>
    </row>
    <row r="205" spans="1:47" x14ac:dyDescent="0.2">
      <c r="F205" t="s">
        <v>13</v>
      </c>
      <c r="G205" t="s">
        <v>62</v>
      </c>
      <c r="H205" s="126">
        <f>'option 3.2 modernised pack targ'!H213</f>
        <v>61.076597781504347</v>
      </c>
      <c r="I205" t="s">
        <v>2</v>
      </c>
      <c r="W205" s="4"/>
      <c r="X205" s="4"/>
    </row>
    <row r="206" spans="1:47" x14ac:dyDescent="0.2">
      <c r="G206" t="s">
        <v>63</v>
      </c>
      <c r="H206" s="127">
        <f>'option 3.2 modernised pack targ'!H214</f>
        <v>2.9535731425166882</v>
      </c>
      <c r="I206" t="s">
        <v>2</v>
      </c>
      <c r="U206" s="4"/>
      <c r="V206" s="4"/>
    </row>
    <row r="207" spans="1:47" x14ac:dyDescent="0.2">
      <c r="G207" s="37" t="s">
        <v>76</v>
      </c>
      <c r="H207" s="38">
        <f>'option 3.2 modernised pack targ'!H215</f>
        <v>2.895569760355964</v>
      </c>
      <c r="I207" s="37" t="s">
        <v>2</v>
      </c>
      <c r="K207" s="1"/>
      <c r="S207" s="4"/>
      <c r="T207" s="4"/>
    </row>
    <row r="208" spans="1:47" x14ac:dyDescent="0.2">
      <c r="G208" t="s">
        <v>113</v>
      </c>
      <c r="H208" s="127">
        <f>'option 3.2 modernised pack targ'!H216</f>
        <v>2.4493394141683797</v>
      </c>
      <c r="I208" t="s">
        <v>2</v>
      </c>
      <c r="P208" s="4"/>
      <c r="Q208" s="4"/>
      <c r="R208" s="16"/>
    </row>
    <row r="209" spans="1:24" x14ac:dyDescent="0.2">
      <c r="G209" t="s">
        <v>114</v>
      </c>
      <c r="H209" s="200">
        <f>'option 3.2 modernised pack targ'!H217</f>
        <v>0.44623034618758411</v>
      </c>
      <c r="I209" t="s">
        <v>2</v>
      </c>
    </row>
    <row r="210" spans="1:24" x14ac:dyDescent="0.2">
      <c r="G210" t="s">
        <v>65</v>
      </c>
      <c r="H210" s="127">
        <f>'option 3.2 modernised pack targ'!H218</f>
        <v>20.846115369684046</v>
      </c>
      <c r="I210" t="s">
        <v>2</v>
      </c>
    </row>
    <row r="211" spans="1:24" x14ac:dyDescent="0.2">
      <c r="G211" t="s">
        <v>106</v>
      </c>
      <c r="H211" s="127">
        <f>'option 3.2 modernised pack targ'!H219</f>
        <v>0.51026444835174956</v>
      </c>
      <c r="I211" t="s">
        <v>2</v>
      </c>
    </row>
    <row r="212" spans="1:24" x14ac:dyDescent="0.2">
      <c r="G212" t="s">
        <v>82</v>
      </c>
      <c r="H212" s="128">
        <f>'option 3.2 modernised pack targ'!H220</f>
        <v>11.717879497587189</v>
      </c>
      <c r="I212" t="s">
        <v>2</v>
      </c>
      <c r="W212" s="4"/>
      <c r="X212" s="4"/>
    </row>
    <row r="213" spans="1:24" x14ac:dyDescent="0.2">
      <c r="U213" s="4"/>
      <c r="V213" s="4"/>
    </row>
    <row r="214" spans="1:24" x14ac:dyDescent="0.2">
      <c r="H214" s="1">
        <f>SUM(H205:H212)-H207</f>
        <v>99.999999999999986</v>
      </c>
      <c r="S214" s="4"/>
      <c r="T214" s="4"/>
    </row>
    <row r="215" spans="1:24" x14ac:dyDescent="0.2">
      <c r="P215" s="4"/>
      <c r="Q215" s="4"/>
      <c r="R215" s="16"/>
    </row>
    <row r="217" spans="1:24" x14ac:dyDescent="0.2">
      <c r="B217" s="84" t="s">
        <v>123</v>
      </c>
      <c r="C217" s="53"/>
      <c r="D217" s="53"/>
    </row>
    <row r="220" spans="1:24" x14ac:dyDescent="0.2">
      <c r="E220" t="s">
        <v>9</v>
      </c>
      <c r="F220" t="s">
        <v>10</v>
      </c>
      <c r="G220" t="s">
        <v>11</v>
      </c>
      <c r="H220" s="1" t="s">
        <v>12</v>
      </c>
      <c r="K220" t="s">
        <v>214</v>
      </c>
    </row>
    <row r="221" spans="1:24" x14ac:dyDescent="0.2">
      <c r="A221" t="s">
        <v>216</v>
      </c>
      <c r="E221" s="79">
        <f>F233+F243</f>
        <v>41148.25</v>
      </c>
      <c r="F221" s="79">
        <f>F248+F258</f>
        <v>11310.75</v>
      </c>
      <c r="G221" s="79">
        <f>F263+F273</f>
        <v>52577.25</v>
      </c>
      <c r="H221" s="80">
        <f>F278+F288</f>
        <v>98961.5</v>
      </c>
      <c r="K221" s="211">
        <f>(H221*M86+G221*M85+F221*M87+E221*M84)/M88</f>
        <v>67585.697141278142</v>
      </c>
      <c r="L221" t="s">
        <v>215</v>
      </c>
    </row>
    <row r="222" spans="1:24" x14ac:dyDescent="0.2">
      <c r="A222" t="s">
        <v>141</v>
      </c>
      <c r="E222" s="80">
        <f>H229</f>
        <v>507237.75</v>
      </c>
      <c r="F222" s="80">
        <f>H244</f>
        <v>153768</v>
      </c>
      <c r="G222" s="80">
        <f>H259</f>
        <v>613099.75</v>
      </c>
      <c r="H222" s="80">
        <f>H274</f>
        <v>1824449</v>
      </c>
      <c r="K222" s="211">
        <f>(H222*M86+G222*M85+F222*M87+E222*M84)/M88</f>
        <v>1063525.1226286173</v>
      </c>
      <c r="L222" t="s">
        <v>215</v>
      </c>
    </row>
    <row r="223" spans="1:24" x14ac:dyDescent="0.2">
      <c r="A223" t="s">
        <v>217</v>
      </c>
      <c r="E223" s="2">
        <f>E221/E222*100</f>
        <v>8.1122215371391437</v>
      </c>
      <c r="F223" s="2">
        <f t="shared" ref="F223:H223" si="81">F221/F222*100</f>
        <v>7.3557242078976124</v>
      </c>
      <c r="G223" s="2">
        <f t="shared" si="81"/>
        <v>8.5756436860396708</v>
      </c>
      <c r="H223" s="2">
        <f t="shared" si="81"/>
        <v>5.4241856034342426</v>
      </c>
    </row>
    <row r="224" spans="1:24" x14ac:dyDescent="0.2">
      <c r="K224" s="213">
        <f>K221/K222*100</f>
        <v>6.3548754705702466</v>
      </c>
      <c r="L224" s="214" t="s">
        <v>2</v>
      </c>
    </row>
    <row r="225" spans="4:11" x14ac:dyDescent="0.2">
      <c r="K225" s="212"/>
    </row>
    <row r="228" spans="4:11" ht="15" thickBot="1" x14ac:dyDescent="0.25">
      <c r="D228" s="40" t="s">
        <v>142</v>
      </c>
      <c r="E228" s="40" t="s">
        <v>124</v>
      </c>
      <c r="F228" s="216" t="s">
        <v>125</v>
      </c>
    </row>
    <row r="229" spans="4:11" ht="15" thickTop="1" x14ac:dyDescent="0.2">
      <c r="D229" s="41" t="s">
        <v>56</v>
      </c>
      <c r="E229" s="215" t="s">
        <v>126</v>
      </c>
      <c r="F229" s="217">
        <v>12594.5</v>
      </c>
      <c r="H229" s="1">
        <f>SUM(F229:F243)</f>
        <v>507237.75</v>
      </c>
    </row>
    <row r="230" spans="4:11" ht="14.25" x14ac:dyDescent="0.2">
      <c r="D230" s="41" t="s">
        <v>56</v>
      </c>
      <c r="E230" s="215" t="s">
        <v>127</v>
      </c>
      <c r="F230" s="218">
        <v>8757.75</v>
      </c>
    </row>
    <row r="231" spans="4:11" ht="28.5" x14ac:dyDescent="0.2">
      <c r="D231" s="41" t="s">
        <v>56</v>
      </c>
      <c r="E231" s="215" t="s">
        <v>128</v>
      </c>
      <c r="F231" s="218">
        <v>120616.25</v>
      </c>
    </row>
    <row r="232" spans="4:11" ht="42.75" x14ac:dyDescent="0.2">
      <c r="D232" s="41" t="s">
        <v>56</v>
      </c>
      <c r="E232" s="215" t="s">
        <v>129</v>
      </c>
      <c r="F232" s="218">
        <v>37110</v>
      </c>
    </row>
    <row r="233" spans="4:11" ht="28.5" x14ac:dyDescent="0.2">
      <c r="D233" s="41" t="s">
        <v>56</v>
      </c>
      <c r="E233" s="215" t="s">
        <v>130</v>
      </c>
      <c r="F233" s="218">
        <v>17418.75</v>
      </c>
    </row>
    <row r="234" spans="4:11" ht="14.25" x14ac:dyDescent="0.2">
      <c r="D234" s="41" t="s">
        <v>56</v>
      </c>
      <c r="E234" s="215" t="s">
        <v>131</v>
      </c>
      <c r="F234" s="218">
        <v>37495.5</v>
      </c>
    </row>
    <row r="235" spans="4:11" ht="14.25" x14ac:dyDescent="0.2">
      <c r="D235" s="41" t="s">
        <v>56</v>
      </c>
      <c r="E235" s="215" t="s">
        <v>132</v>
      </c>
      <c r="F235" s="218">
        <v>50401.5</v>
      </c>
    </row>
    <row r="236" spans="4:11" ht="28.5" x14ac:dyDescent="0.2">
      <c r="D236" s="41" t="s">
        <v>56</v>
      </c>
      <c r="E236" s="215" t="s">
        <v>133</v>
      </c>
      <c r="F236" s="218">
        <v>28056.25</v>
      </c>
    </row>
    <row r="237" spans="4:11" ht="28.5" x14ac:dyDescent="0.2">
      <c r="D237" s="41" t="s">
        <v>56</v>
      </c>
      <c r="E237" s="215" t="s">
        <v>134</v>
      </c>
      <c r="F237" s="218">
        <v>25624.5</v>
      </c>
    </row>
    <row r="238" spans="4:11" ht="14.25" x14ac:dyDescent="0.2">
      <c r="D238" s="41" t="s">
        <v>56</v>
      </c>
      <c r="E238" s="215" t="s">
        <v>135</v>
      </c>
      <c r="F238" s="218">
        <v>24988.75</v>
      </c>
    </row>
    <row r="239" spans="4:11" ht="28.5" x14ac:dyDescent="0.2">
      <c r="D239" s="41" t="s">
        <v>56</v>
      </c>
      <c r="E239" s="215" t="s">
        <v>136</v>
      </c>
      <c r="F239" s="218">
        <v>15404.5</v>
      </c>
    </row>
    <row r="240" spans="4:11" ht="28.5" x14ac:dyDescent="0.2">
      <c r="D240" s="41" t="s">
        <v>56</v>
      </c>
      <c r="E240" s="215" t="s">
        <v>137</v>
      </c>
      <c r="F240" s="218">
        <v>69636.25</v>
      </c>
    </row>
    <row r="241" spans="4:8" ht="14.25" x14ac:dyDescent="0.2">
      <c r="D241" s="41" t="s">
        <v>56</v>
      </c>
      <c r="E241" s="215" t="s">
        <v>138</v>
      </c>
      <c r="F241" s="218">
        <v>26660.25</v>
      </c>
    </row>
    <row r="242" spans="4:8" ht="28.5" x14ac:dyDescent="0.2">
      <c r="D242" s="41" t="s">
        <v>56</v>
      </c>
      <c r="E242" s="215" t="s">
        <v>139</v>
      </c>
      <c r="F242" s="218">
        <v>8743.5</v>
      </c>
    </row>
    <row r="243" spans="4:8" ht="43.5" thickBot="1" x14ac:dyDescent="0.25">
      <c r="D243" s="41" t="s">
        <v>56</v>
      </c>
      <c r="E243" s="215" t="s">
        <v>140</v>
      </c>
      <c r="F243" s="219">
        <v>23729.5</v>
      </c>
    </row>
    <row r="244" spans="4:8" ht="15" thickTop="1" x14ac:dyDescent="0.2">
      <c r="D244" s="41" t="s">
        <v>59</v>
      </c>
      <c r="E244" s="215" t="s">
        <v>126</v>
      </c>
      <c r="F244" s="217">
        <v>1421.5</v>
      </c>
      <c r="H244" s="1">
        <f>SUM(F244:F258)</f>
        <v>153768</v>
      </c>
    </row>
    <row r="245" spans="4:8" ht="14.25" x14ac:dyDescent="0.2">
      <c r="D245" s="41" t="s">
        <v>59</v>
      </c>
      <c r="E245" s="215" t="s">
        <v>127</v>
      </c>
      <c r="F245" s="218">
        <v>1011.5</v>
      </c>
    </row>
    <row r="246" spans="4:8" ht="28.5" x14ac:dyDescent="0.2">
      <c r="D246" s="41" t="s">
        <v>59</v>
      </c>
      <c r="E246" s="215" t="s">
        <v>128</v>
      </c>
      <c r="F246" s="218">
        <v>65082.5</v>
      </c>
    </row>
    <row r="247" spans="4:8" ht="42.75" x14ac:dyDescent="0.2">
      <c r="D247" s="41" t="s">
        <v>59</v>
      </c>
      <c r="E247" s="215" t="s">
        <v>129</v>
      </c>
      <c r="F247" s="218">
        <v>2379.75</v>
      </c>
    </row>
    <row r="248" spans="4:8" ht="28.5" x14ac:dyDescent="0.2">
      <c r="D248" s="41" t="s">
        <v>59</v>
      </c>
      <c r="E248" s="215" t="s">
        <v>130</v>
      </c>
      <c r="F248" s="218">
        <v>6008.5</v>
      </c>
    </row>
    <row r="249" spans="4:8" ht="14.25" x14ac:dyDescent="0.2">
      <c r="D249" s="41" t="s">
        <v>59</v>
      </c>
      <c r="E249" s="215" t="s">
        <v>131</v>
      </c>
      <c r="F249" s="218">
        <v>6593.25</v>
      </c>
    </row>
    <row r="250" spans="4:8" ht="14.25" x14ac:dyDescent="0.2">
      <c r="D250" s="41" t="s">
        <v>59</v>
      </c>
      <c r="E250" s="215" t="s">
        <v>132</v>
      </c>
      <c r="F250" s="218">
        <v>19094.5</v>
      </c>
    </row>
    <row r="251" spans="4:8" ht="28.5" x14ac:dyDescent="0.2">
      <c r="D251" s="41" t="s">
        <v>59</v>
      </c>
      <c r="E251" s="215" t="s">
        <v>133</v>
      </c>
      <c r="F251" s="218">
        <v>7313</v>
      </c>
    </row>
    <row r="252" spans="4:8" ht="28.5" x14ac:dyDescent="0.2">
      <c r="D252" s="41" t="s">
        <v>59</v>
      </c>
      <c r="E252" s="215" t="s">
        <v>134</v>
      </c>
      <c r="F252" s="218">
        <v>7035</v>
      </c>
    </row>
    <row r="253" spans="4:8" ht="14.25" x14ac:dyDescent="0.2">
      <c r="D253" s="41" t="s">
        <v>59</v>
      </c>
      <c r="E253" s="215" t="s">
        <v>135</v>
      </c>
      <c r="F253" s="218">
        <v>6863.5</v>
      </c>
    </row>
    <row r="254" spans="4:8" ht="28.5" x14ac:dyDescent="0.2">
      <c r="D254" s="41" t="s">
        <v>59</v>
      </c>
      <c r="E254" s="215" t="s">
        <v>136</v>
      </c>
      <c r="F254" s="218">
        <v>3592.75</v>
      </c>
    </row>
    <row r="255" spans="4:8" ht="28.5" x14ac:dyDescent="0.2">
      <c r="D255" s="41" t="s">
        <v>59</v>
      </c>
      <c r="E255" s="215" t="s">
        <v>137</v>
      </c>
      <c r="F255" s="218">
        <v>12642.75</v>
      </c>
    </row>
    <row r="256" spans="4:8" ht="14.25" x14ac:dyDescent="0.2">
      <c r="D256" s="41" t="s">
        <v>59</v>
      </c>
      <c r="E256" s="215" t="s">
        <v>138</v>
      </c>
      <c r="F256" s="218">
        <v>6489.75</v>
      </c>
    </row>
    <row r="257" spans="4:8" ht="28.5" x14ac:dyDescent="0.2">
      <c r="D257" s="41" t="s">
        <v>59</v>
      </c>
      <c r="E257" s="215" t="s">
        <v>139</v>
      </c>
      <c r="F257" s="218">
        <v>2937.5</v>
      </c>
    </row>
    <row r="258" spans="4:8" ht="43.5" thickBot="1" x14ac:dyDescent="0.25">
      <c r="D258" s="41" t="s">
        <v>59</v>
      </c>
      <c r="E258" s="215" t="s">
        <v>140</v>
      </c>
      <c r="F258" s="219">
        <v>5302.25</v>
      </c>
    </row>
    <row r="259" spans="4:8" ht="15" thickTop="1" x14ac:dyDescent="0.2">
      <c r="D259" s="41" t="s">
        <v>57</v>
      </c>
      <c r="E259" s="215" t="s">
        <v>126</v>
      </c>
      <c r="F259" s="217">
        <v>3603</v>
      </c>
      <c r="H259" s="1">
        <f>SUM(F259:F273)</f>
        <v>613099.75</v>
      </c>
    </row>
    <row r="260" spans="4:8" ht="14.25" x14ac:dyDescent="0.2">
      <c r="D260" s="41" t="s">
        <v>57</v>
      </c>
      <c r="E260" s="215" t="s">
        <v>127</v>
      </c>
      <c r="F260" s="218">
        <v>1961.25</v>
      </c>
    </row>
    <row r="261" spans="4:8" ht="28.5" x14ac:dyDescent="0.2">
      <c r="D261" s="41" t="s">
        <v>57</v>
      </c>
      <c r="E261" s="215" t="s">
        <v>128</v>
      </c>
      <c r="F261" s="218">
        <v>316005.25</v>
      </c>
    </row>
    <row r="262" spans="4:8" ht="42.75" x14ac:dyDescent="0.2">
      <c r="D262" s="41" t="s">
        <v>57</v>
      </c>
      <c r="E262" s="215" t="s">
        <v>129</v>
      </c>
      <c r="F262" s="218">
        <v>5919</v>
      </c>
    </row>
    <row r="263" spans="4:8" ht="28.5" x14ac:dyDescent="0.2">
      <c r="D263" s="41" t="s">
        <v>57</v>
      </c>
      <c r="E263" s="215" t="s">
        <v>130</v>
      </c>
      <c r="F263" s="218">
        <v>25483.25</v>
      </c>
    </row>
    <row r="264" spans="4:8" ht="14.25" x14ac:dyDescent="0.2">
      <c r="D264" s="41" t="s">
        <v>57</v>
      </c>
      <c r="E264" s="215" t="s">
        <v>131</v>
      </c>
      <c r="F264" s="218">
        <v>15997.75</v>
      </c>
    </row>
    <row r="265" spans="4:8" ht="14.25" x14ac:dyDescent="0.2">
      <c r="D265" s="41" t="s">
        <v>57</v>
      </c>
      <c r="E265" s="215" t="s">
        <v>132</v>
      </c>
      <c r="F265" s="218">
        <v>65346.25</v>
      </c>
    </row>
    <row r="266" spans="4:8" ht="28.5" x14ac:dyDescent="0.2">
      <c r="D266" s="41" t="s">
        <v>57</v>
      </c>
      <c r="E266" s="215" t="s">
        <v>133</v>
      </c>
      <c r="F266" s="218">
        <v>19180.5</v>
      </c>
    </row>
    <row r="267" spans="4:8" ht="28.5" x14ac:dyDescent="0.2">
      <c r="D267" s="41" t="s">
        <v>57</v>
      </c>
      <c r="E267" s="215" t="s">
        <v>134</v>
      </c>
      <c r="F267" s="218">
        <v>17063.5</v>
      </c>
    </row>
    <row r="268" spans="4:8" ht="14.25" x14ac:dyDescent="0.2">
      <c r="D268" s="41" t="s">
        <v>57</v>
      </c>
      <c r="E268" s="215" t="s">
        <v>135</v>
      </c>
      <c r="F268" s="218">
        <v>22718.5</v>
      </c>
    </row>
    <row r="269" spans="4:8" ht="28.5" x14ac:dyDescent="0.2">
      <c r="D269" s="41" t="s">
        <v>57</v>
      </c>
      <c r="E269" s="215" t="s">
        <v>136</v>
      </c>
      <c r="F269" s="218">
        <v>16351.5</v>
      </c>
    </row>
    <row r="270" spans="4:8" ht="28.5" x14ac:dyDescent="0.2">
      <c r="D270" s="41" t="s">
        <v>57</v>
      </c>
      <c r="E270" s="215" t="s">
        <v>137</v>
      </c>
      <c r="F270" s="218">
        <v>29325</v>
      </c>
    </row>
    <row r="271" spans="4:8" ht="14.25" x14ac:dyDescent="0.2">
      <c r="D271" s="41" t="s">
        <v>57</v>
      </c>
      <c r="E271" s="215" t="s">
        <v>138</v>
      </c>
      <c r="F271" s="218">
        <v>12328.5</v>
      </c>
    </row>
    <row r="272" spans="4:8" ht="28.5" x14ac:dyDescent="0.2">
      <c r="D272" s="41" t="s">
        <v>57</v>
      </c>
      <c r="E272" s="215" t="s">
        <v>139</v>
      </c>
      <c r="F272" s="218">
        <v>34722.5</v>
      </c>
    </row>
    <row r="273" spans="4:8" ht="43.5" thickBot="1" x14ac:dyDescent="0.25">
      <c r="D273" s="41" t="s">
        <v>57</v>
      </c>
      <c r="E273" s="215" t="s">
        <v>140</v>
      </c>
      <c r="F273" s="219">
        <v>27094</v>
      </c>
    </row>
    <row r="274" spans="4:8" ht="15" thickTop="1" x14ac:dyDescent="0.2">
      <c r="D274" s="41" t="s">
        <v>58</v>
      </c>
      <c r="E274" s="215" t="s">
        <v>126</v>
      </c>
      <c r="F274" s="286">
        <v>75830.75</v>
      </c>
      <c r="H274" s="1">
        <f>SUM(F274:F288)</f>
        <v>1824449</v>
      </c>
    </row>
    <row r="275" spans="4:8" ht="14.25" x14ac:dyDescent="0.2">
      <c r="D275" s="41" t="s">
        <v>58</v>
      </c>
      <c r="E275" s="215" t="s">
        <v>127</v>
      </c>
      <c r="F275" s="218">
        <v>61807.75</v>
      </c>
    </row>
    <row r="276" spans="4:8" ht="28.5" x14ac:dyDescent="0.2">
      <c r="D276" s="41" t="s">
        <v>58</v>
      </c>
      <c r="E276" s="215" t="s">
        <v>128</v>
      </c>
      <c r="F276" s="218">
        <v>323328.5</v>
      </c>
    </row>
    <row r="277" spans="4:8" ht="42.75" x14ac:dyDescent="0.2">
      <c r="D277" s="41" t="s">
        <v>58</v>
      </c>
      <c r="E277" s="215" t="s">
        <v>129</v>
      </c>
      <c r="F277" s="218">
        <v>82483.75</v>
      </c>
    </row>
    <row r="278" spans="4:8" ht="28.5" x14ac:dyDescent="0.2">
      <c r="D278" s="41" t="s">
        <v>58</v>
      </c>
      <c r="E278" s="215" t="s">
        <v>130</v>
      </c>
      <c r="F278" s="218">
        <v>41262.25</v>
      </c>
    </row>
    <row r="279" spans="4:8" ht="14.25" x14ac:dyDescent="0.2">
      <c r="D279" s="41" t="s">
        <v>58</v>
      </c>
      <c r="E279" s="215" t="s">
        <v>131</v>
      </c>
      <c r="F279" s="218">
        <v>233631</v>
      </c>
    </row>
    <row r="280" spans="4:8" ht="14.25" x14ac:dyDescent="0.2">
      <c r="D280" s="41" t="s">
        <v>58</v>
      </c>
      <c r="E280" s="215" t="s">
        <v>132</v>
      </c>
      <c r="F280" s="218">
        <v>122817.25</v>
      </c>
    </row>
    <row r="281" spans="4:8" ht="28.5" x14ac:dyDescent="0.2">
      <c r="D281" s="41" t="s">
        <v>58</v>
      </c>
      <c r="E281" s="215" t="s">
        <v>133</v>
      </c>
      <c r="F281" s="218">
        <v>100277.5</v>
      </c>
    </row>
    <row r="282" spans="4:8" ht="28.5" x14ac:dyDescent="0.2">
      <c r="D282" s="41" t="s">
        <v>58</v>
      </c>
      <c r="E282" s="215" t="s">
        <v>134</v>
      </c>
      <c r="F282" s="218">
        <v>139505</v>
      </c>
    </row>
    <row r="283" spans="4:8" ht="14.25" x14ac:dyDescent="0.2">
      <c r="D283" s="41" t="s">
        <v>58</v>
      </c>
      <c r="E283" s="215" t="s">
        <v>135</v>
      </c>
      <c r="F283" s="218">
        <v>151129.75</v>
      </c>
    </row>
    <row r="284" spans="4:8" ht="28.5" x14ac:dyDescent="0.2">
      <c r="D284" s="41" t="s">
        <v>58</v>
      </c>
      <c r="E284" s="215" t="s">
        <v>136</v>
      </c>
      <c r="F284" s="218">
        <v>98141.75</v>
      </c>
    </row>
    <row r="285" spans="4:8" ht="28.5" x14ac:dyDescent="0.2">
      <c r="D285" s="41" t="s">
        <v>58</v>
      </c>
      <c r="E285" s="215" t="s">
        <v>137</v>
      </c>
      <c r="F285" s="218">
        <v>73667.5</v>
      </c>
    </row>
    <row r="286" spans="4:8" ht="14.25" x14ac:dyDescent="0.2">
      <c r="D286" s="41" t="s">
        <v>58</v>
      </c>
      <c r="E286" s="215" t="s">
        <v>138</v>
      </c>
      <c r="F286" s="218">
        <v>167031</v>
      </c>
    </row>
    <row r="287" spans="4:8" ht="28.5" x14ac:dyDescent="0.2">
      <c r="D287" s="41" t="s">
        <v>58</v>
      </c>
      <c r="E287" s="215" t="s">
        <v>139</v>
      </c>
      <c r="F287" s="218">
        <v>95836</v>
      </c>
    </row>
    <row r="288" spans="4:8" ht="43.5" thickBot="1" x14ac:dyDescent="0.25">
      <c r="D288" s="41" t="s">
        <v>58</v>
      </c>
      <c r="E288" s="215" t="s">
        <v>140</v>
      </c>
      <c r="F288" s="219">
        <v>57699.25</v>
      </c>
    </row>
    <row r="289" spans="2:17" ht="13.5" thickTop="1" x14ac:dyDescent="0.2"/>
    <row r="292" spans="2:17" x14ac:dyDescent="0.2">
      <c r="B292" s="84" t="s">
        <v>218</v>
      </c>
    </row>
    <row r="293" spans="2:17" x14ac:dyDescent="0.2">
      <c r="B293" s="84"/>
      <c r="D293" t="s">
        <v>231</v>
      </c>
      <c r="G293" t="s">
        <v>232</v>
      </c>
      <c r="K293" t="s">
        <v>233</v>
      </c>
      <c r="O293" t="s">
        <v>234</v>
      </c>
    </row>
    <row r="294" spans="2:17" ht="13.5" thickBot="1" x14ac:dyDescent="0.25">
      <c r="C294" t="s">
        <v>230</v>
      </c>
      <c r="D294">
        <v>2020</v>
      </c>
      <c r="E294">
        <v>2025</v>
      </c>
      <c r="F294">
        <v>2030</v>
      </c>
      <c r="G294">
        <v>2020</v>
      </c>
      <c r="H294" s="1">
        <v>2025</v>
      </c>
      <c r="I294">
        <v>2030</v>
      </c>
      <c r="K294">
        <f>G294</f>
        <v>2020</v>
      </c>
      <c r="L294">
        <f t="shared" ref="L294:M294" si="82">H294</f>
        <v>2025</v>
      </c>
      <c r="M294">
        <f t="shared" si="82"/>
        <v>2030</v>
      </c>
      <c r="O294">
        <v>2020</v>
      </c>
      <c r="P294">
        <v>2025</v>
      </c>
      <c r="Q294">
        <v>2030</v>
      </c>
    </row>
    <row r="295" spans="2:17" ht="13.5" thickTop="1" x14ac:dyDescent="0.2">
      <c r="B295" t="s">
        <v>219</v>
      </c>
      <c r="C295" s="168">
        <v>57.205411411018893</v>
      </c>
      <c r="D295" s="221">
        <v>0</v>
      </c>
      <c r="E295" s="162">
        <v>-32.205411411018893</v>
      </c>
      <c r="F295" s="163">
        <v>-52.205411411018893</v>
      </c>
      <c r="G295" s="2">
        <f>$K$224*D295/100</f>
        <v>0</v>
      </c>
      <c r="H295" s="2">
        <f t="shared" ref="H295:I295" si="83">$K$224*E295/100</f>
        <v>-2.0466137899550709</v>
      </c>
      <c r="I295" s="2">
        <f t="shared" si="83"/>
        <v>-3.3175888840691203</v>
      </c>
      <c r="K295" s="2">
        <f>$K$224+G295</f>
        <v>6.3548754705702466</v>
      </c>
      <c r="L295" s="2">
        <f t="shared" ref="L295:M305" si="84">$K$224+H295</f>
        <v>4.3082616806151757</v>
      </c>
      <c r="M295" s="2">
        <f t="shared" si="84"/>
        <v>3.0372865865011263</v>
      </c>
      <c r="O295">
        <f>1*$C295/100*G295/100</f>
        <v>0</v>
      </c>
      <c r="P295">
        <f t="shared" ref="P295" si="85">1*$C295/100*H295/100</f>
        <v>-1.1707738385384444E-2</v>
      </c>
      <c r="Q295">
        <f>1*$C295/100*I295/100</f>
        <v>-1.897840370057971E-2</v>
      </c>
    </row>
    <row r="296" spans="2:17" x14ac:dyDescent="0.2">
      <c r="B296" t="s">
        <v>220</v>
      </c>
      <c r="C296" s="220">
        <v>57.205411411018893</v>
      </c>
      <c r="D296" s="222">
        <v>0</v>
      </c>
      <c r="E296" s="164">
        <v>-32.205411411018893</v>
      </c>
      <c r="F296" s="165">
        <v>-52.205411411018893</v>
      </c>
      <c r="G296" s="2">
        <f t="shared" ref="G296:G305" si="86">$K$224*D296/100</f>
        <v>0</v>
      </c>
      <c r="H296" s="2">
        <f t="shared" ref="H296:H305" si="87">$K$224*E296/100</f>
        <v>-2.0466137899550709</v>
      </c>
      <c r="I296" s="2">
        <f t="shared" ref="I296:I305" si="88">$K$224*F296/100</f>
        <v>-3.3175888840691203</v>
      </c>
      <c r="K296" s="2">
        <f t="shared" ref="K296:K305" si="89">$K$224+G296</f>
        <v>6.3548754705702466</v>
      </c>
      <c r="L296" s="2">
        <f t="shared" si="84"/>
        <v>4.3082616806151757</v>
      </c>
      <c r="M296" s="2">
        <f t="shared" si="84"/>
        <v>3.0372865865011263</v>
      </c>
      <c r="O296">
        <f t="shared" ref="O296:O305" si="90">1*$C296/100*G296/100</f>
        <v>0</v>
      </c>
      <c r="P296">
        <f t="shared" ref="P296:P305" si="91">1*$C296/100*H296/100</f>
        <v>-1.1707738385384444E-2</v>
      </c>
      <c r="Q296">
        <f t="shared" ref="Q296:Q305" si="92">1*$C296/100*I296/100</f>
        <v>-1.897840370057971E-2</v>
      </c>
    </row>
    <row r="297" spans="2:17" x14ac:dyDescent="0.2">
      <c r="B297" t="s">
        <v>221</v>
      </c>
      <c r="C297" s="220">
        <v>57.205411411018893</v>
      </c>
      <c r="D297" s="222">
        <v>0</v>
      </c>
      <c r="E297" s="164">
        <v>-32.205411411018893</v>
      </c>
      <c r="F297" s="165">
        <v>-52.205411411018893</v>
      </c>
      <c r="G297" s="2">
        <f t="shared" si="86"/>
        <v>0</v>
      </c>
      <c r="H297" s="2">
        <f t="shared" si="87"/>
        <v>-2.0466137899550709</v>
      </c>
      <c r="I297" s="2">
        <f t="shared" si="88"/>
        <v>-3.3175888840691203</v>
      </c>
      <c r="K297" s="2">
        <f t="shared" si="89"/>
        <v>6.3548754705702466</v>
      </c>
      <c r="L297" s="2">
        <f t="shared" si="84"/>
        <v>4.3082616806151757</v>
      </c>
      <c r="M297" s="2">
        <f t="shared" si="84"/>
        <v>3.0372865865011263</v>
      </c>
      <c r="O297">
        <f t="shared" si="90"/>
        <v>0</v>
      </c>
      <c r="P297">
        <f t="shared" si="91"/>
        <v>-1.1707738385384444E-2</v>
      </c>
      <c r="Q297">
        <f t="shared" si="92"/>
        <v>-1.897840370057971E-2</v>
      </c>
    </row>
    <row r="298" spans="2:17" x14ac:dyDescent="0.2">
      <c r="B298" t="s">
        <v>222</v>
      </c>
      <c r="C298" s="220">
        <v>57.205411411018893</v>
      </c>
      <c r="D298" s="222">
        <v>0</v>
      </c>
      <c r="E298" s="164">
        <v>-32.205411411018893</v>
      </c>
      <c r="F298" s="165">
        <v>-52.205411411018893</v>
      </c>
      <c r="G298" s="2">
        <f t="shared" si="86"/>
        <v>0</v>
      </c>
      <c r="H298" s="2">
        <f t="shared" si="87"/>
        <v>-2.0466137899550709</v>
      </c>
      <c r="I298" s="2">
        <f t="shared" si="88"/>
        <v>-3.3175888840691203</v>
      </c>
      <c r="K298" s="2">
        <f t="shared" si="89"/>
        <v>6.3548754705702466</v>
      </c>
      <c r="L298" s="2">
        <f t="shared" si="84"/>
        <v>4.3082616806151757</v>
      </c>
      <c r="M298" s="2">
        <f t="shared" si="84"/>
        <v>3.0372865865011263</v>
      </c>
      <c r="O298">
        <f t="shared" si="90"/>
        <v>0</v>
      </c>
      <c r="P298">
        <f t="shared" si="91"/>
        <v>-1.1707738385384444E-2</v>
      </c>
      <c r="Q298">
        <f t="shared" si="92"/>
        <v>-1.897840370057971E-2</v>
      </c>
    </row>
    <row r="299" spans="2:17" x14ac:dyDescent="0.2">
      <c r="B299" t="s">
        <v>223</v>
      </c>
      <c r="C299" s="220">
        <v>57.205411411018893</v>
      </c>
      <c r="D299" s="222">
        <v>0</v>
      </c>
      <c r="E299" s="164">
        <v>-32.205411411018893</v>
      </c>
      <c r="F299" s="165">
        <v>-52.205411411018893</v>
      </c>
      <c r="G299" s="2">
        <f t="shared" si="86"/>
        <v>0</v>
      </c>
      <c r="H299" s="2">
        <f t="shared" si="87"/>
        <v>-2.0466137899550709</v>
      </c>
      <c r="I299" s="2">
        <f t="shared" si="88"/>
        <v>-3.3175888840691203</v>
      </c>
      <c r="K299" s="2">
        <f t="shared" si="89"/>
        <v>6.3548754705702466</v>
      </c>
      <c r="L299" s="2">
        <f t="shared" si="84"/>
        <v>4.3082616806151757</v>
      </c>
      <c r="M299" s="2">
        <f t="shared" si="84"/>
        <v>3.0372865865011263</v>
      </c>
      <c r="O299">
        <f t="shared" si="90"/>
        <v>0</v>
      </c>
      <c r="P299">
        <f t="shared" si="91"/>
        <v>-1.1707738385384444E-2</v>
      </c>
      <c r="Q299">
        <f t="shared" si="92"/>
        <v>-1.897840370057971E-2</v>
      </c>
    </row>
    <row r="300" spans="2:17" x14ac:dyDescent="0.2">
      <c r="B300" t="s">
        <v>224</v>
      </c>
      <c r="C300" s="220">
        <v>22.698898763923985</v>
      </c>
      <c r="D300" s="222">
        <v>0</v>
      </c>
      <c r="E300" s="164">
        <v>-11.576021887448498</v>
      </c>
      <c r="F300" s="165">
        <v>-31.576021887448498</v>
      </c>
      <c r="G300" s="2">
        <f t="shared" si="86"/>
        <v>0</v>
      </c>
      <c r="H300" s="2">
        <f t="shared" si="87"/>
        <v>-0.73564177539330744</v>
      </c>
      <c r="I300" s="2">
        <f t="shared" si="88"/>
        <v>-2.006616869507357</v>
      </c>
      <c r="K300" s="2">
        <f t="shared" si="89"/>
        <v>6.3548754705702466</v>
      </c>
      <c r="L300" s="2">
        <f t="shared" si="84"/>
        <v>5.6192336951769395</v>
      </c>
      <c r="M300" s="2">
        <f t="shared" si="84"/>
        <v>4.3482586010628896</v>
      </c>
      <c r="O300">
        <f t="shared" si="90"/>
        <v>0</v>
      </c>
      <c r="P300">
        <f t="shared" si="91"/>
        <v>-1.6698258186165992E-3</v>
      </c>
      <c r="Q300">
        <f t="shared" si="92"/>
        <v>-4.5547993178929568E-3</v>
      </c>
    </row>
    <row r="301" spans="2:17" x14ac:dyDescent="0.2">
      <c r="B301" t="s">
        <v>225</v>
      </c>
      <c r="C301" s="220">
        <v>28.713565268542997</v>
      </c>
      <c r="D301" s="222">
        <v>0</v>
      </c>
      <c r="E301" s="164">
        <v>-3.7135652685429967</v>
      </c>
      <c r="F301" s="165">
        <v>-23.713565268542997</v>
      </c>
      <c r="G301" s="2">
        <f t="shared" si="86"/>
        <v>0</v>
      </c>
      <c r="H301" s="2">
        <f t="shared" si="87"/>
        <v>-0.23599244833425501</v>
      </c>
      <c r="I301" s="2">
        <f t="shared" si="88"/>
        <v>-1.5069675424483042</v>
      </c>
      <c r="K301" s="2">
        <f t="shared" si="89"/>
        <v>6.3548754705702466</v>
      </c>
      <c r="L301" s="2">
        <f t="shared" si="84"/>
        <v>6.118883022235992</v>
      </c>
      <c r="M301" s="2">
        <f t="shared" si="84"/>
        <v>4.8479079281219422</v>
      </c>
      <c r="O301">
        <f t="shared" si="90"/>
        <v>0</v>
      </c>
      <c r="P301">
        <f t="shared" si="91"/>
        <v>-6.7761845681288911E-4</v>
      </c>
      <c r="Q301">
        <f t="shared" si="92"/>
        <v>-4.3270410887665221E-3</v>
      </c>
    </row>
    <row r="302" spans="2:17" x14ac:dyDescent="0.2">
      <c r="B302" t="s">
        <v>226</v>
      </c>
      <c r="C302" s="220">
        <v>27.126139606405797</v>
      </c>
      <c r="D302" s="222">
        <v>0</v>
      </c>
      <c r="E302" s="164">
        <v>-2.1261396064057969</v>
      </c>
      <c r="F302" s="165">
        <v>-22.126139606405797</v>
      </c>
      <c r="G302" s="2">
        <f t="shared" si="86"/>
        <v>0</v>
      </c>
      <c r="H302" s="2">
        <f t="shared" si="87"/>
        <v>-0.13511352431756077</v>
      </c>
      <c r="I302" s="2">
        <f t="shared" si="88"/>
        <v>-1.4060886184316101</v>
      </c>
      <c r="K302" s="2">
        <f t="shared" si="89"/>
        <v>6.3548754705702466</v>
      </c>
      <c r="L302" s="2">
        <f t="shared" si="84"/>
        <v>6.2197619462526861</v>
      </c>
      <c r="M302" s="2">
        <f t="shared" si="84"/>
        <v>4.9487868521386362</v>
      </c>
      <c r="O302">
        <f t="shared" si="90"/>
        <v>0</v>
      </c>
      <c r="P302">
        <f t="shared" si="91"/>
        <v>-3.6651083233516581E-4</v>
      </c>
      <c r="Q302">
        <f t="shared" si="92"/>
        <v>-3.8141756162554108E-3</v>
      </c>
    </row>
    <row r="303" spans="2:17" x14ac:dyDescent="0.2">
      <c r="B303" t="s">
        <v>227</v>
      </c>
      <c r="C303" s="220">
        <v>27.126139606405797</v>
      </c>
      <c r="D303" s="222">
        <v>0</v>
      </c>
      <c r="E303" s="164">
        <v>-2.1261396064057969</v>
      </c>
      <c r="F303" s="165">
        <v>-22.126139606405797</v>
      </c>
      <c r="G303" s="2">
        <f t="shared" si="86"/>
        <v>0</v>
      </c>
      <c r="H303" s="2">
        <f t="shared" si="87"/>
        <v>-0.13511352431756077</v>
      </c>
      <c r="I303" s="2">
        <f t="shared" si="88"/>
        <v>-1.4060886184316101</v>
      </c>
      <c r="K303" s="2">
        <f t="shared" si="89"/>
        <v>6.3548754705702466</v>
      </c>
      <c r="L303" s="2">
        <f t="shared" si="84"/>
        <v>6.2197619462526861</v>
      </c>
      <c r="M303" s="2">
        <f t="shared" si="84"/>
        <v>4.9487868521386362</v>
      </c>
      <c r="O303">
        <f t="shared" si="90"/>
        <v>0</v>
      </c>
      <c r="P303">
        <f t="shared" si="91"/>
        <v>-3.6651083233516581E-4</v>
      </c>
      <c r="Q303">
        <f t="shared" si="92"/>
        <v>-3.8141756162554108E-3</v>
      </c>
    </row>
    <row r="304" spans="2:17" x14ac:dyDescent="0.2">
      <c r="B304" t="s">
        <v>228</v>
      </c>
      <c r="C304" s="220">
        <v>8.4855222906258163</v>
      </c>
      <c r="D304" s="222">
        <v>0</v>
      </c>
      <c r="E304" s="164">
        <v>0</v>
      </c>
      <c r="F304" s="165">
        <v>-3.4855222906258163</v>
      </c>
      <c r="G304" s="2">
        <f t="shared" si="86"/>
        <v>0</v>
      </c>
      <c r="H304" s="2">
        <f t="shared" si="87"/>
        <v>0</v>
      </c>
      <c r="I304" s="2">
        <f t="shared" si="88"/>
        <v>-0.22150060106823818</v>
      </c>
      <c r="K304" s="2">
        <f t="shared" si="89"/>
        <v>6.3548754705702466</v>
      </c>
      <c r="L304" s="2">
        <f t="shared" si="84"/>
        <v>6.3548754705702466</v>
      </c>
      <c r="M304" s="2">
        <f t="shared" si="84"/>
        <v>6.1333748695020081</v>
      </c>
      <c r="O304">
        <f t="shared" si="90"/>
        <v>0</v>
      </c>
      <c r="P304">
        <f t="shared" si="91"/>
        <v>0</v>
      </c>
      <c r="Q304">
        <f t="shared" si="92"/>
        <v>-1.8795482877515514E-4</v>
      </c>
    </row>
    <row r="305" spans="2:17" ht="13.5" thickBot="1" x14ac:dyDescent="0.25">
      <c r="B305" t="s">
        <v>229</v>
      </c>
      <c r="C305" s="169">
        <v>32.347577733165167</v>
      </c>
      <c r="D305" s="223">
        <v>0</v>
      </c>
      <c r="E305" s="166">
        <v>-7.347577733165167</v>
      </c>
      <c r="F305" s="167">
        <v>-27.347577733165167</v>
      </c>
      <c r="G305" s="2">
        <f t="shared" si="86"/>
        <v>0</v>
      </c>
      <c r="H305" s="2">
        <f t="shared" si="87"/>
        <v>-0.46692941504599461</v>
      </c>
      <c r="I305" s="2">
        <f t="shared" si="88"/>
        <v>-1.737904509160044</v>
      </c>
      <c r="K305" s="2">
        <f t="shared" si="89"/>
        <v>6.3548754705702466</v>
      </c>
      <c r="L305" s="2">
        <f t="shared" si="84"/>
        <v>5.8879460555242522</v>
      </c>
      <c r="M305" s="2">
        <f t="shared" si="84"/>
        <v>4.6169709614102024</v>
      </c>
      <c r="O305">
        <f t="shared" si="90"/>
        <v>0</v>
      </c>
      <c r="P305">
        <f t="shared" si="91"/>
        <v>-1.5104035549101651E-3</v>
      </c>
      <c r="Q305">
        <f t="shared" si="92"/>
        <v>-5.621700120287277E-3</v>
      </c>
    </row>
    <row r="306" spans="2:17" ht="13.5" thickTop="1" x14ac:dyDescent="0.2">
      <c r="C306" s="164"/>
    </row>
    <row r="307" spans="2:17" x14ac:dyDescent="0.2">
      <c r="B307" s="1" t="str">
        <f>CONCATENATE("Under BAU ",ROUND(K224,1),"% of marine litter comes from waste collection and landfills. For MSW this is reduced to ",ROUND(L295,1),"% in 2025 and ",ROUND(M295,1),"% in 2030")</f>
        <v>Under BAU 6,4% of marine litter comes from waste collection and landfills. For MSW this is reduced to 4,3% in 2025 and 3% in 2030</v>
      </c>
      <c r="M307" s="193"/>
      <c r="N307" s="194"/>
      <c r="O307" s="194" t="s">
        <v>235</v>
      </c>
      <c r="P307" s="194"/>
      <c r="Q307" s="195"/>
    </row>
    <row r="308" spans="2:17" x14ac:dyDescent="0.2">
      <c r="B308" s="1" t="str">
        <f>CONCATENATE("Under BAU ",ROUND($K$224,1),"% of marine litter comes from waste collection and landfills. For ",B300,", this is reduced to ",ROUND(L300,1),"% in 2025 and ",ROUND(M300,1),"% in 2030")</f>
        <v>Under BAU 6,4% of marine litter comes from waste collection and landfills. For packaging plastics, this is reduced to 5,6% in 2025 and 4,3% in 2030</v>
      </c>
      <c r="M308" s="183"/>
      <c r="N308" s="79"/>
      <c r="O308" s="79">
        <v>2020</v>
      </c>
      <c r="P308" s="79">
        <v>2025</v>
      </c>
      <c r="Q308" s="184">
        <v>2030</v>
      </c>
    </row>
    <row r="309" spans="2:17" x14ac:dyDescent="0.2">
      <c r="B309" s="1" t="str">
        <f t="shared" ref="B309:B312" si="93">CONCATENATE("Under BAU ",ROUND($K$224,1),"% of marine litter comes from waste collection and landfills. For ",B301,", this is reduced to ",ROUND(L301,1),"% in 2025 and ",ROUND(M301,1),"% in 2030")</f>
        <v>Under BAU 6,4% of marine litter comes from waste collection and landfills. For packaging glass, this is reduced to 6,1% in 2025 and 4,8% in 2030</v>
      </c>
      <c r="M309" s="183"/>
      <c r="N309" s="81" t="str">
        <f t="shared" ref="N309:N319" si="94">B295</f>
        <v>MSW plastics</v>
      </c>
      <c r="O309" s="79">
        <f>O295</f>
        <v>0</v>
      </c>
      <c r="P309" s="79">
        <f>P295</f>
        <v>-1.1707738385384444E-2</v>
      </c>
      <c r="Q309" s="184">
        <f>Q295</f>
        <v>-1.897840370057971E-2</v>
      </c>
    </row>
    <row r="310" spans="2:17" x14ac:dyDescent="0.2">
      <c r="B310" s="1" t="str">
        <f t="shared" si="93"/>
        <v>Under BAU 6,4% of marine litter comes from waste collection and landfills. For packaging steel, this is reduced to 6,2% in 2025 and 4,9% in 2030</v>
      </c>
      <c r="M310" s="183"/>
      <c r="N310" s="81" t="str">
        <f t="shared" si="94"/>
        <v>MSW glass</v>
      </c>
      <c r="O310" s="79">
        <f t="shared" ref="O310:P319" si="95">O296</f>
        <v>0</v>
      </c>
      <c r="P310" s="79">
        <f t="shared" si="95"/>
        <v>-1.1707738385384444E-2</v>
      </c>
      <c r="Q310" s="184">
        <f t="shared" ref="Q310" si="96">Q296</f>
        <v>-1.897840370057971E-2</v>
      </c>
    </row>
    <row r="311" spans="2:17" x14ac:dyDescent="0.2">
      <c r="B311" s="1" t="str">
        <f t="shared" si="93"/>
        <v>Under BAU 6,4% of marine litter comes from waste collection and landfills. For packaging aluminium, this is reduced to 6,2% in 2025 and 4,9% in 2030</v>
      </c>
      <c r="M311" s="183"/>
      <c r="N311" s="81" t="str">
        <f t="shared" si="94"/>
        <v>MSW metals</v>
      </c>
      <c r="O311" s="79">
        <f t="shared" si="95"/>
        <v>0</v>
      </c>
      <c r="P311" s="79">
        <f t="shared" si="95"/>
        <v>-1.1707738385384444E-2</v>
      </c>
      <c r="Q311" s="184">
        <f t="shared" ref="Q311" si="97">Q297</f>
        <v>-1.897840370057971E-2</v>
      </c>
    </row>
    <row r="312" spans="2:17" x14ac:dyDescent="0.2">
      <c r="B312" s="1" t="str">
        <f t="shared" si="93"/>
        <v>Under BAU 6,4% of marine litter comes from waste collection and landfills. For packaging paper, this is reduced to 6,4% in 2025 and 6,1% in 2030</v>
      </c>
      <c r="M312" s="183"/>
      <c r="N312" s="81" t="str">
        <f t="shared" si="94"/>
        <v>MSW paper</v>
      </c>
      <c r="O312" s="79">
        <f t="shared" si="95"/>
        <v>0</v>
      </c>
      <c r="P312" s="79">
        <f t="shared" si="95"/>
        <v>-1.1707738385384444E-2</v>
      </c>
      <c r="Q312" s="184">
        <f t="shared" ref="Q312" si="98">Q298</f>
        <v>-1.897840370057971E-2</v>
      </c>
    </row>
    <row r="313" spans="2:17" x14ac:dyDescent="0.2">
      <c r="B313" s="1" t="str">
        <f>CONCATENATE("Under BAU ",ROUND($K$224,1),"% of marine litter comes from waste collection and landfills. For ",B305,", this is reduced to ",ROUND(L305,1),"% in 2025 and ",ROUND(M305,1),"% in 2030")</f>
        <v>Under BAU 6,4% of marine litter comes from waste collection and landfills. For packaging wood, this is reduced to 5,9% in 2025 and 4,6% in 2030</v>
      </c>
      <c r="M313" s="183"/>
      <c r="N313" s="81" t="str">
        <f t="shared" si="94"/>
        <v>MSW wood</v>
      </c>
      <c r="O313" s="79">
        <f t="shared" si="95"/>
        <v>0</v>
      </c>
      <c r="P313" s="79">
        <f t="shared" si="95"/>
        <v>-1.1707738385384444E-2</v>
      </c>
      <c r="Q313" s="184">
        <f t="shared" ref="Q313" si="99">Q299</f>
        <v>-1.897840370057971E-2</v>
      </c>
    </row>
    <row r="314" spans="2:17" x14ac:dyDescent="0.2">
      <c r="B314" s="1"/>
      <c r="M314" s="183"/>
      <c r="N314" s="81" t="str">
        <f t="shared" si="94"/>
        <v>packaging plastics</v>
      </c>
      <c r="O314" s="79">
        <f t="shared" si="95"/>
        <v>0</v>
      </c>
      <c r="P314" s="79">
        <f>MIN(P295,P300)</f>
        <v>-1.1707738385384444E-2</v>
      </c>
      <c r="Q314" s="184">
        <f>MIN(Q295,Q300)</f>
        <v>-1.897840370057971E-2</v>
      </c>
    </row>
    <row r="315" spans="2:17" x14ac:dyDescent="0.2">
      <c r="M315" s="183"/>
      <c r="N315" s="81" t="str">
        <f t="shared" si="94"/>
        <v>packaging glass</v>
      </c>
      <c r="O315" s="79">
        <f t="shared" si="95"/>
        <v>0</v>
      </c>
      <c r="P315" s="79">
        <f t="shared" ref="P315:Q319" si="100">MIN(P296,P301)</f>
        <v>-1.1707738385384444E-2</v>
      </c>
      <c r="Q315" s="184">
        <f t="shared" si="100"/>
        <v>-1.897840370057971E-2</v>
      </c>
    </row>
    <row r="316" spans="2:17" x14ac:dyDescent="0.2">
      <c r="M316" s="183"/>
      <c r="N316" s="81" t="str">
        <f t="shared" si="94"/>
        <v>packaging steel</v>
      </c>
      <c r="O316" s="79">
        <f t="shared" si="95"/>
        <v>0</v>
      </c>
      <c r="P316" s="79">
        <f t="shared" si="100"/>
        <v>-1.1707738385384444E-2</v>
      </c>
      <c r="Q316" s="184">
        <f t="shared" si="100"/>
        <v>-1.897840370057971E-2</v>
      </c>
    </row>
    <row r="317" spans="2:17" x14ac:dyDescent="0.2">
      <c r="M317" s="183"/>
      <c r="N317" s="81" t="str">
        <f t="shared" si="94"/>
        <v>packaging aluminium</v>
      </c>
      <c r="O317" s="79">
        <f t="shared" si="95"/>
        <v>0</v>
      </c>
      <c r="P317" s="79">
        <f t="shared" si="100"/>
        <v>-1.1707738385384444E-2</v>
      </c>
      <c r="Q317" s="184">
        <f t="shared" si="100"/>
        <v>-1.897840370057971E-2</v>
      </c>
    </row>
    <row r="318" spans="2:17" x14ac:dyDescent="0.2">
      <c r="M318" s="183"/>
      <c r="N318" s="81" t="str">
        <f t="shared" si="94"/>
        <v>packaging paper</v>
      </c>
      <c r="O318" s="79">
        <f t="shared" si="95"/>
        <v>0</v>
      </c>
      <c r="P318" s="79">
        <f t="shared" si="100"/>
        <v>-1.1707738385384444E-2</v>
      </c>
      <c r="Q318" s="184">
        <f t="shared" si="100"/>
        <v>-1.897840370057971E-2</v>
      </c>
    </row>
    <row r="319" spans="2:17" x14ac:dyDescent="0.2">
      <c r="M319" s="185"/>
      <c r="N319" s="224" t="str">
        <f t="shared" si="94"/>
        <v>packaging wood</v>
      </c>
      <c r="O319" s="181">
        <f t="shared" si="95"/>
        <v>0</v>
      </c>
      <c r="P319" s="181">
        <f t="shared" si="100"/>
        <v>-1.6698258186165992E-3</v>
      </c>
      <c r="Q319" s="186">
        <f t="shared" si="100"/>
        <v>-5.621700120287277E-3</v>
      </c>
    </row>
  </sheetData>
  <mergeCells count="5">
    <mergeCell ref="AS5:AT5"/>
    <mergeCell ref="Y5:Z5"/>
    <mergeCell ref="G25:G29"/>
    <mergeCell ref="H28:K28"/>
    <mergeCell ref="AI5:AJ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D87"/>
  </sheetPr>
  <dimension ref="A1:AU308"/>
  <sheetViews>
    <sheetView topLeftCell="AE45" workbookViewId="0">
      <selection activeCell="AT76" sqref="AT76"/>
    </sheetView>
  </sheetViews>
  <sheetFormatPr defaultRowHeight="12.75" x14ac:dyDescent="0.2"/>
  <cols>
    <col min="2" max="2" width="18.7109375" customWidth="1"/>
    <col min="4" max="4" width="24" customWidth="1"/>
    <col min="5" max="5" width="13.28515625" customWidth="1"/>
    <col min="6" max="6" width="14.28515625" customWidth="1"/>
    <col min="8" max="8" width="9.140625" style="1"/>
    <col min="17" max="17" width="23.28515625" customWidth="1"/>
    <col min="18" max="18" width="9.140625" style="1"/>
    <col min="19" max="19" width="10.42578125" customWidth="1"/>
    <col min="20" max="20" width="25.140625" customWidth="1"/>
    <col min="22" max="22" width="14.85546875" bestFit="1" customWidth="1"/>
    <col min="24" max="24" width="11.7109375" bestFit="1" customWidth="1"/>
    <col min="27" max="27" width="2.7109375" bestFit="1" customWidth="1"/>
    <col min="30" max="30" width="26" customWidth="1"/>
    <col min="32" max="32" width="14.85546875" bestFit="1" customWidth="1"/>
    <col min="33" max="33" width="8.140625" bestFit="1" customWidth="1"/>
    <col min="34" max="34" width="11.7109375" bestFit="1" customWidth="1"/>
    <col min="37" max="37" width="2.7109375" bestFit="1" customWidth="1"/>
    <col min="40" max="40" width="28.140625" customWidth="1"/>
    <col min="42" max="42" width="14.85546875" bestFit="1" customWidth="1"/>
    <col min="43" max="43" width="5.5703125" bestFit="1" customWidth="1"/>
    <col min="44" max="44" width="11.7109375" bestFit="1" customWidth="1"/>
    <col min="45" max="45" width="12.140625" bestFit="1" customWidth="1"/>
    <col min="46" max="46" width="10.7109375" bestFit="1" customWidth="1"/>
    <col min="47" max="47" width="2.7109375" bestFit="1" customWidth="1"/>
  </cols>
  <sheetData>
    <row r="1" spans="2:47" x14ac:dyDescent="0.2">
      <c r="R1"/>
      <c r="U1" s="1"/>
    </row>
    <row r="2" spans="2:47" x14ac:dyDescent="0.2">
      <c r="E2" s="53"/>
      <c r="F2" s="53"/>
      <c r="R2"/>
      <c r="U2" s="1"/>
    </row>
    <row r="3" spans="2:47" ht="20.25" x14ac:dyDescent="0.3">
      <c r="B3" s="23" t="s">
        <v>102</v>
      </c>
      <c r="C3" s="23"/>
      <c r="D3" s="23"/>
      <c r="L3" s="24" t="s">
        <v>103</v>
      </c>
      <c r="R3"/>
      <c r="S3" s="23" t="s">
        <v>15</v>
      </c>
      <c r="U3" s="1"/>
    </row>
    <row r="4" spans="2:47" x14ac:dyDescent="0.2">
      <c r="R4"/>
      <c r="U4" s="1"/>
    </row>
    <row r="5" spans="2:47" x14ac:dyDescent="0.2">
      <c r="R5"/>
      <c r="S5" s="25">
        <v>2020</v>
      </c>
      <c r="T5" s="25"/>
      <c r="U5" s="26"/>
      <c r="V5" s="25"/>
      <c r="W5" s="25"/>
      <c r="X5" s="25"/>
      <c r="Y5" s="306" t="s">
        <v>95</v>
      </c>
      <c r="Z5" s="306"/>
      <c r="AA5" s="25"/>
      <c r="AC5" s="25">
        <v>2025</v>
      </c>
      <c r="AD5" s="25"/>
      <c r="AE5" s="26"/>
      <c r="AF5" s="25"/>
      <c r="AG5" s="25"/>
      <c r="AH5" s="25"/>
      <c r="AI5" s="306" t="s">
        <v>95</v>
      </c>
      <c r="AJ5" s="306"/>
      <c r="AK5" s="25"/>
      <c r="AM5" s="25">
        <v>2030</v>
      </c>
      <c r="AN5" s="25"/>
      <c r="AO5" s="26"/>
      <c r="AP5" s="25"/>
      <c r="AQ5" s="25"/>
      <c r="AR5" s="25"/>
      <c r="AS5" s="306" t="s">
        <v>95</v>
      </c>
      <c r="AT5" s="306"/>
      <c r="AU5" s="25"/>
    </row>
    <row r="6" spans="2:47" x14ac:dyDescent="0.2">
      <c r="B6" s="84" t="s">
        <v>0</v>
      </c>
      <c r="C6" s="1"/>
      <c r="E6" s="54"/>
      <c r="J6" s="2"/>
      <c r="R6"/>
      <c r="S6" s="25"/>
      <c r="T6" s="25"/>
      <c r="U6" s="26"/>
      <c r="V6" s="25"/>
      <c r="W6" s="25"/>
      <c r="X6" s="25"/>
      <c r="Y6" s="26"/>
      <c r="Z6" s="25"/>
      <c r="AA6" s="25"/>
      <c r="AC6" s="25"/>
      <c r="AD6" s="25"/>
      <c r="AE6" s="26"/>
      <c r="AF6" s="25"/>
      <c r="AG6" s="25"/>
      <c r="AH6" s="25"/>
      <c r="AI6" s="26"/>
      <c r="AJ6" s="25"/>
      <c r="AK6" s="25"/>
      <c r="AM6" s="25"/>
      <c r="AN6" s="25"/>
      <c r="AO6" s="26"/>
      <c r="AP6" s="25"/>
      <c r="AQ6" s="25"/>
      <c r="AR6" s="25"/>
      <c r="AS6" s="26"/>
      <c r="AT6" s="25"/>
      <c r="AU6" s="25"/>
    </row>
    <row r="7" spans="2:47" x14ac:dyDescent="0.2">
      <c r="B7" t="str">
        <f>'option 3.3 limiting landfill'!B7</f>
        <v>as in BAU</v>
      </c>
      <c r="R7"/>
      <c r="S7" s="25"/>
      <c r="T7" s="27" t="s">
        <v>16</v>
      </c>
      <c r="U7" s="26">
        <v>100</v>
      </c>
      <c r="V7" s="25"/>
      <c r="W7" s="25"/>
      <c r="X7" s="25"/>
      <c r="Y7" s="25"/>
      <c r="Z7" s="25"/>
      <c r="AA7" s="25"/>
      <c r="AC7" s="25"/>
      <c r="AD7" s="27" t="s">
        <v>16</v>
      </c>
      <c r="AE7" s="26">
        <v>100</v>
      </c>
      <c r="AF7" s="25"/>
      <c r="AG7" s="25"/>
      <c r="AH7" s="25"/>
      <c r="AI7" s="25"/>
      <c r="AJ7" s="25"/>
      <c r="AK7" s="25"/>
      <c r="AM7" s="25"/>
      <c r="AN7" s="27" t="s">
        <v>16</v>
      </c>
      <c r="AO7" s="26">
        <v>100</v>
      </c>
      <c r="AP7" s="25"/>
      <c r="AQ7" s="25"/>
      <c r="AR7" s="25"/>
      <c r="AS7" s="25"/>
      <c r="AT7" s="25"/>
      <c r="AU7" s="25"/>
    </row>
    <row r="8" spans="2:47" x14ac:dyDescent="0.2">
      <c r="B8" t="str">
        <f>'option 3.3 limiting landfill'!B8</f>
        <v>increase 2015-2020</v>
      </c>
      <c r="C8" s="2">
        <f>'option 3.3 limiting landfill'!C8</f>
        <v>2.8975042901448815</v>
      </c>
      <c r="D8" t="s">
        <v>2</v>
      </c>
      <c r="H8"/>
      <c r="R8"/>
      <c r="S8" s="27"/>
      <c r="T8" s="27" t="s">
        <v>17</v>
      </c>
      <c r="U8" s="28">
        <f>U7*C25</f>
        <v>78.366280390281759</v>
      </c>
      <c r="V8" s="25"/>
      <c r="W8" s="25"/>
      <c r="X8" s="25"/>
      <c r="Y8" s="25"/>
      <c r="Z8" s="25"/>
      <c r="AA8" s="25"/>
      <c r="AC8" s="27"/>
      <c r="AD8" s="27" t="s">
        <v>17</v>
      </c>
      <c r="AE8" s="28">
        <f>AE7*C25</f>
        <v>78.366280390281759</v>
      </c>
      <c r="AF8" s="25"/>
      <c r="AG8" s="25"/>
      <c r="AH8" s="25"/>
      <c r="AI8" s="25"/>
      <c r="AJ8" s="25"/>
      <c r="AK8" s="25"/>
      <c r="AM8" s="27"/>
      <c r="AN8" s="27" t="s">
        <v>17</v>
      </c>
      <c r="AO8" s="28">
        <f>AO7*C25</f>
        <v>78.366280390281759</v>
      </c>
      <c r="AP8" s="25"/>
      <c r="AQ8" s="25"/>
      <c r="AR8" s="25"/>
      <c r="AS8" s="25"/>
      <c r="AT8" s="25"/>
      <c r="AU8" s="25"/>
    </row>
    <row r="9" spans="2:47" x14ac:dyDescent="0.2">
      <c r="B9" t="str">
        <f>'option 3.3 limiting landfill'!B9</f>
        <v>increase 2015-2025</v>
      </c>
      <c r="C9" s="2">
        <f>'option 3.3 limiting landfill'!C9</f>
        <v>5.1828712412524975</v>
      </c>
      <c r="D9" t="s">
        <v>2</v>
      </c>
      <c r="E9" s="1"/>
      <c r="F9" s="1"/>
      <c r="G9" s="1"/>
      <c r="I9" s="1"/>
      <c r="J9" s="1"/>
      <c r="K9" s="1"/>
      <c r="R9"/>
      <c r="S9" s="27"/>
      <c r="T9" s="27" t="s">
        <v>19</v>
      </c>
      <c r="U9" s="28">
        <f>U7*C26</f>
        <v>21.633719609718238</v>
      </c>
      <c r="V9" s="25"/>
      <c r="W9" s="25"/>
      <c r="X9" s="25"/>
      <c r="Y9" s="26"/>
      <c r="Z9" s="25"/>
      <c r="AA9" s="25"/>
      <c r="AC9" s="27"/>
      <c r="AD9" s="27" t="s">
        <v>19</v>
      </c>
      <c r="AE9" s="28">
        <f>AE7*C26</f>
        <v>21.633719609718238</v>
      </c>
      <c r="AF9" s="25"/>
      <c r="AG9" s="25"/>
      <c r="AH9" s="25"/>
      <c r="AI9" s="26"/>
      <c r="AJ9" s="25"/>
      <c r="AK9" s="25"/>
      <c r="AM9" s="27"/>
      <c r="AN9" s="27" t="s">
        <v>19</v>
      </c>
      <c r="AO9" s="28">
        <f>AO7*C26</f>
        <v>21.633719609718238</v>
      </c>
      <c r="AP9" s="25"/>
      <c r="AQ9" s="25"/>
      <c r="AR9" s="25"/>
      <c r="AS9" s="26"/>
      <c r="AT9" s="25"/>
      <c r="AU9" s="25"/>
    </row>
    <row r="10" spans="2:47" x14ac:dyDescent="0.2">
      <c r="B10" t="str">
        <f>'option 3.3 limiting landfill'!B10</f>
        <v>increase 2015-2030</v>
      </c>
      <c r="C10" s="2">
        <f>'option 3.3 limiting landfill'!C10</f>
        <v>6.7064492086575767</v>
      </c>
      <c r="D10" t="s">
        <v>2</v>
      </c>
      <c r="R10"/>
      <c r="S10" s="25"/>
      <c r="T10" s="25"/>
      <c r="U10" s="26"/>
      <c r="V10" s="25"/>
      <c r="W10" s="25"/>
      <c r="X10" s="25"/>
      <c r="Y10" s="26"/>
      <c r="Z10" s="25"/>
      <c r="AA10" s="25"/>
      <c r="AC10" s="25"/>
      <c r="AD10" s="25"/>
      <c r="AE10" s="26"/>
      <c r="AF10" s="25"/>
      <c r="AG10" s="25"/>
      <c r="AH10" s="25"/>
      <c r="AI10" s="26"/>
      <c r="AJ10" s="25"/>
      <c r="AK10" s="25"/>
      <c r="AM10" s="25"/>
      <c r="AN10" s="25"/>
      <c r="AO10" s="26"/>
      <c r="AP10" s="25"/>
      <c r="AQ10" s="25"/>
      <c r="AR10" s="25"/>
      <c r="AS10" s="26"/>
      <c r="AT10" s="25"/>
      <c r="AU10" s="25"/>
    </row>
    <row r="11" spans="2:47" x14ac:dyDescent="0.2">
      <c r="R11"/>
      <c r="S11" s="25"/>
      <c r="T11" s="27" t="s">
        <v>18</v>
      </c>
      <c r="U11" s="28">
        <f>U8+U8*C8/100</f>
        <v>80.63694672661714</v>
      </c>
      <c r="V11" s="27"/>
      <c r="W11" s="26"/>
      <c r="X11" s="25"/>
      <c r="Y11" s="25"/>
      <c r="Z11" s="25"/>
      <c r="AA11" s="25"/>
      <c r="AC11" s="25"/>
      <c r="AD11" s="27" t="s">
        <v>171</v>
      </c>
      <c r="AE11" s="28">
        <f>AE8+AE8*C9/100</f>
        <v>82.427903799468965</v>
      </c>
      <c r="AF11" s="27"/>
      <c r="AG11" s="26"/>
      <c r="AH11" s="25"/>
      <c r="AI11" s="25"/>
      <c r="AJ11" s="25"/>
      <c r="AK11" s="25"/>
      <c r="AM11" s="25"/>
      <c r="AN11" s="27" t="s">
        <v>146</v>
      </c>
      <c r="AO11" s="28">
        <f>AO8+AO8*C10/100</f>
        <v>83.621875181370186</v>
      </c>
      <c r="AP11" s="27"/>
      <c r="AQ11" s="26"/>
      <c r="AR11" s="25"/>
      <c r="AS11" s="25"/>
      <c r="AT11" s="25"/>
      <c r="AU11" s="25"/>
    </row>
    <row r="12" spans="2:47" x14ac:dyDescent="0.2">
      <c r="H12" s="2"/>
      <c r="R12"/>
      <c r="S12" s="25"/>
      <c r="T12" s="27" t="s">
        <v>20</v>
      </c>
      <c r="U12" s="28">
        <f>U9+U9*C16/100</f>
        <v>23.761096188566889</v>
      </c>
      <c r="V12" s="27"/>
      <c r="W12" s="26"/>
      <c r="X12" s="25"/>
      <c r="Y12" s="25"/>
      <c r="Z12" s="25"/>
      <c r="AA12" s="25"/>
      <c r="AC12" s="25"/>
      <c r="AD12" s="27" t="s">
        <v>172</v>
      </c>
      <c r="AE12" s="28">
        <f>AE9+AE9*C17/100</f>
        <v>26.097670778200566</v>
      </c>
      <c r="AF12" s="27"/>
      <c r="AG12" s="26"/>
      <c r="AH12" s="25"/>
      <c r="AI12" s="25"/>
      <c r="AJ12" s="25"/>
      <c r="AK12" s="25"/>
      <c r="AM12" s="25"/>
      <c r="AN12" s="27" t="s">
        <v>147</v>
      </c>
      <c r="AO12" s="28">
        <f>AO9+AO9*C18/100</f>
        <v>28.664015104448865</v>
      </c>
      <c r="AP12" s="27"/>
      <c r="AQ12" s="26"/>
      <c r="AR12" s="25"/>
      <c r="AS12" s="25"/>
      <c r="AT12" s="25"/>
      <c r="AU12" s="25"/>
    </row>
    <row r="13" spans="2:47" x14ac:dyDescent="0.2">
      <c r="R13"/>
      <c r="S13" s="25"/>
      <c r="T13" s="27" t="s">
        <v>98</v>
      </c>
      <c r="U13" s="28">
        <f>SUM(U11:U12)</f>
        <v>104.39804291518402</v>
      </c>
      <c r="V13" s="27"/>
      <c r="W13" s="26"/>
      <c r="X13" s="25"/>
      <c r="Y13" s="26"/>
      <c r="Z13" s="25"/>
      <c r="AA13" s="25"/>
      <c r="AC13" s="25"/>
      <c r="AD13" s="27" t="s">
        <v>173</v>
      </c>
      <c r="AE13" s="28">
        <f>SUM(AE11:AE12)</f>
        <v>108.52557457766953</v>
      </c>
      <c r="AF13" s="27"/>
      <c r="AG13" s="26"/>
      <c r="AH13" s="25"/>
      <c r="AI13" s="26"/>
      <c r="AJ13" s="25"/>
      <c r="AK13" s="25"/>
      <c r="AM13" s="25"/>
      <c r="AN13" s="27" t="s">
        <v>150</v>
      </c>
      <c r="AO13" s="28">
        <f>SUM(AO11:AO12)</f>
        <v>112.28589028581905</v>
      </c>
      <c r="AP13" s="27"/>
      <c r="AQ13" s="26"/>
      <c r="AR13" s="25"/>
      <c r="AS13" s="26"/>
      <c r="AT13" s="25"/>
      <c r="AU13" s="25"/>
    </row>
    <row r="14" spans="2:47" x14ac:dyDescent="0.2">
      <c r="B14" s="84" t="s">
        <v>5</v>
      </c>
      <c r="C14" s="53"/>
      <c r="R14"/>
      <c r="S14" s="25"/>
      <c r="T14" s="27"/>
      <c r="U14" s="26"/>
      <c r="V14" s="27"/>
      <c r="W14" s="25"/>
      <c r="X14" s="25"/>
      <c r="Y14" s="25"/>
      <c r="Z14" s="25"/>
      <c r="AA14" s="25"/>
      <c r="AC14" s="25"/>
      <c r="AD14" s="27"/>
      <c r="AE14" s="26"/>
      <c r="AF14" s="27"/>
      <c r="AG14" s="25"/>
      <c r="AH14" s="25"/>
      <c r="AI14" s="25"/>
      <c r="AJ14" s="25"/>
      <c r="AK14" s="25"/>
      <c r="AM14" s="25"/>
      <c r="AN14" s="27"/>
      <c r="AO14" s="26"/>
      <c r="AP14" s="27"/>
      <c r="AQ14" s="25"/>
      <c r="AR14" s="25"/>
      <c r="AS14" s="25"/>
      <c r="AT14" s="25"/>
      <c r="AU14" s="25"/>
    </row>
    <row r="15" spans="2:47" x14ac:dyDescent="0.2">
      <c r="B15" t="str">
        <f>'option 3.3 limiting landfill'!B15</f>
        <v>as in BAU</v>
      </c>
      <c r="R15"/>
      <c r="S15" s="25"/>
      <c r="T15" s="27" t="s">
        <v>48</v>
      </c>
      <c r="U15" s="28">
        <f>U11*I83/100</f>
        <v>49.018983027633332</v>
      </c>
      <c r="V15" s="27"/>
      <c r="W15" s="25"/>
      <c r="X15" s="25"/>
      <c r="Y15" s="25"/>
      <c r="Z15" s="25"/>
      <c r="AA15" s="25"/>
      <c r="AC15" s="25"/>
      <c r="AD15" s="27" t="s">
        <v>48</v>
      </c>
      <c r="AE15" s="28">
        <f>AE11*I83/100</f>
        <v>50.107701015120881</v>
      </c>
      <c r="AF15" s="27"/>
      <c r="AG15" s="25"/>
      <c r="AH15" s="25"/>
      <c r="AI15" s="25"/>
      <c r="AJ15" s="25"/>
      <c r="AK15" s="25"/>
      <c r="AM15" s="25"/>
      <c r="AN15" s="27" t="s">
        <v>48</v>
      </c>
      <c r="AO15" s="28">
        <f>AO11*I83/100</f>
        <v>50.833513006779249</v>
      </c>
      <c r="AP15" s="27"/>
      <c r="AQ15" s="25"/>
      <c r="AR15" s="25"/>
      <c r="AS15" s="25"/>
      <c r="AT15" s="25"/>
      <c r="AU15" s="25"/>
    </row>
    <row r="16" spans="2:47" x14ac:dyDescent="0.2">
      <c r="B16" t="str">
        <f>'option 3.3 limiting landfill'!B16</f>
        <v>increase 2015-2020</v>
      </c>
      <c r="C16" s="2">
        <f>'option 3.3 limiting landfill'!C16</f>
        <v>9.8336144557082932</v>
      </c>
      <c r="D16" t="str">
        <f>'option 3.3 limiting landfill'!D16</f>
        <v>%</v>
      </c>
      <c r="R16"/>
      <c r="S16" s="25"/>
      <c r="T16" s="27" t="s">
        <v>46</v>
      </c>
      <c r="U16" s="28">
        <f>U12*I84/100</f>
        <v>1.7516626527831847</v>
      </c>
      <c r="V16" s="27"/>
      <c r="W16" s="25"/>
      <c r="X16" s="25"/>
      <c r="Y16" s="25"/>
      <c r="Z16" s="25"/>
      <c r="AA16" s="25"/>
      <c r="AC16" s="25"/>
      <c r="AD16" s="27" t="s">
        <v>46</v>
      </c>
      <c r="AE16" s="28">
        <f>AE12*I84/100</f>
        <v>1.9239144046225161</v>
      </c>
      <c r="AF16" s="27"/>
      <c r="AG16" s="25"/>
      <c r="AH16" s="25"/>
      <c r="AI16" s="25"/>
      <c r="AJ16" s="25"/>
      <c r="AK16" s="25"/>
      <c r="AM16" s="25"/>
      <c r="AN16" s="27" t="s">
        <v>46</v>
      </c>
      <c r="AO16" s="28">
        <f>AO12*I84/100</f>
        <v>2.1131047296309307</v>
      </c>
      <c r="AP16" s="27"/>
      <c r="AQ16" s="25"/>
      <c r="AR16" s="25"/>
      <c r="AS16" s="25"/>
      <c r="AT16" s="25"/>
      <c r="AU16" s="25"/>
    </row>
    <row r="17" spans="2:47" x14ac:dyDescent="0.2">
      <c r="B17" t="str">
        <f>'option 3.3 limiting landfill'!B17</f>
        <v>increase 2015-2025</v>
      </c>
      <c r="C17" s="2">
        <f>'option 3.3 limiting landfill'!C17</f>
        <v>20.634228644051781</v>
      </c>
      <c r="D17" t="str">
        <f>'option 3.3 limiting landfill'!D17</f>
        <v>%</v>
      </c>
      <c r="R17"/>
      <c r="S17" s="25"/>
      <c r="T17" s="27"/>
      <c r="U17" s="26"/>
      <c r="V17" s="27"/>
      <c r="W17" s="25"/>
      <c r="X17" s="25"/>
      <c r="Y17" s="25" t="s">
        <v>100</v>
      </c>
      <c r="Z17" s="25" t="s">
        <v>101</v>
      </c>
      <c r="AA17" s="25"/>
      <c r="AC17" s="25"/>
      <c r="AD17" s="27"/>
      <c r="AE17" s="26"/>
      <c r="AF17" s="27"/>
      <c r="AG17" s="25"/>
      <c r="AH17" s="25"/>
      <c r="AI17" s="25" t="s">
        <v>100</v>
      </c>
      <c r="AJ17" s="25" t="s">
        <v>101</v>
      </c>
      <c r="AK17" s="25"/>
      <c r="AM17" s="25"/>
      <c r="AN17" s="27"/>
      <c r="AO17" s="26"/>
      <c r="AP17" s="27"/>
      <c r="AQ17" s="25"/>
      <c r="AR17" s="25"/>
      <c r="AS17" s="25" t="s">
        <v>100</v>
      </c>
      <c r="AT17" s="25" t="s">
        <v>101</v>
      </c>
      <c r="AU17" s="25"/>
    </row>
    <row r="18" spans="2:47" x14ac:dyDescent="0.2">
      <c r="B18" t="str">
        <f>'option 3.3 limiting landfill'!B18</f>
        <v>increase 2015-2030</v>
      </c>
      <c r="C18" s="2">
        <f>'option 3.3 limiting landfill'!C18</f>
        <v>32.496933590525494</v>
      </c>
      <c r="D18" t="str">
        <f>'option 3.3 limiting landfill'!D18</f>
        <v>%</v>
      </c>
      <c r="H18"/>
      <c r="R18"/>
      <c r="S18" s="25"/>
      <c r="T18" s="27" t="s">
        <v>25</v>
      </c>
      <c r="U18" s="28">
        <f>$U$11*H215/100</f>
        <v>49.250303615501892</v>
      </c>
      <c r="V18" s="27" t="s">
        <v>84</v>
      </c>
      <c r="W18" s="28">
        <f>E61</f>
        <v>26.030271701672291</v>
      </c>
      <c r="X18" s="25" t="s">
        <v>2</v>
      </c>
      <c r="Y18" s="28">
        <f>U18-U18*W18/100</f>
        <v>36.430315770488221</v>
      </c>
      <c r="Z18" s="28">
        <f>IF(Y18&lt;(Y26+Y34),Y18,(Y26+Y34))</f>
        <v>36.430315770488221</v>
      </c>
      <c r="AA18" s="25"/>
      <c r="AB18" s="45"/>
      <c r="AC18" s="25"/>
      <c r="AD18" s="27" t="s">
        <v>25</v>
      </c>
      <c r="AE18" s="28">
        <f>$AE$11*H215/100</f>
        <v>50.344159263327001</v>
      </c>
      <c r="AF18" s="27" t="s">
        <v>84</v>
      </c>
      <c r="AG18" s="28">
        <f>H61</f>
        <v>36.343694104712718</v>
      </c>
      <c r="AH18" s="25" t="s">
        <v>2</v>
      </c>
      <c r="AI18" s="28">
        <f>AE18-AE18*AG18/100</f>
        <v>32.047232021074045</v>
      </c>
      <c r="AJ18" s="28">
        <f>IF(AI18&lt;(AI26+AI34),AI18,(AI26+AI34))</f>
        <v>30.897387912259045</v>
      </c>
      <c r="AK18" s="25"/>
      <c r="AM18" s="25"/>
      <c r="AN18" s="27" t="s">
        <v>25</v>
      </c>
      <c r="AO18" s="28">
        <f>$AO$11*H215/100</f>
        <v>51.073396361877073</v>
      </c>
      <c r="AP18" s="27" t="s">
        <v>84</v>
      </c>
      <c r="AQ18" s="28">
        <f>K61</f>
        <v>36.343694104712718</v>
      </c>
      <c r="AR18" s="25" t="s">
        <v>2</v>
      </c>
      <c r="AS18" s="28">
        <f>AO18-AO18*AQ18/100</f>
        <v>32.511437419228997</v>
      </c>
      <c r="AT18" s="28">
        <f>IF(AS18&lt;(AS26+AS34),AS18,(AS26+AS34))</f>
        <v>31.344937773923434</v>
      </c>
      <c r="AU18" s="25"/>
    </row>
    <row r="19" spans="2:47" x14ac:dyDescent="0.2">
      <c r="C19" s="2"/>
      <c r="D19" s="2"/>
      <c r="E19" s="2"/>
      <c r="F19" s="2"/>
      <c r="G19" s="2"/>
      <c r="H19" s="2"/>
      <c r="I19" s="2"/>
      <c r="J19" s="2"/>
      <c r="K19" s="2"/>
      <c r="R19"/>
      <c r="S19" s="25"/>
      <c r="T19" s="27" t="s">
        <v>26</v>
      </c>
      <c r="U19" s="28">
        <f>$U$11*H216/100</f>
        <v>2.3816712014628534</v>
      </c>
      <c r="V19" s="27" t="s">
        <v>84</v>
      </c>
      <c r="W19" s="28">
        <f t="shared" ref="W19" si="0">E62</f>
        <v>54.175412615358866</v>
      </c>
      <c r="X19" s="25" t="s">
        <v>2</v>
      </c>
      <c r="Y19" s="28">
        <f t="shared" ref="Y19:Y24" si="1">U19-U19*W19/100</f>
        <v>1.0913910009291776</v>
      </c>
      <c r="Z19" s="28">
        <f>IF(Y19&lt;(Y27+Y35),Y19,(Y27+Y35))</f>
        <v>1.0913910009291776</v>
      </c>
      <c r="AA19" s="25"/>
      <c r="AB19" s="45"/>
      <c r="AC19" s="25"/>
      <c r="AD19" s="27" t="s">
        <v>26</v>
      </c>
      <c r="AE19" s="28">
        <f>$AE$11*H216/100</f>
        <v>2.434568428560608</v>
      </c>
      <c r="AF19" s="27" t="s">
        <v>84</v>
      </c>
      <c r="AG19" s="28">
        <f t="shared" ref="AG19" si="2">H62</f>
        <v>81.226867004682248</v>
      </c>
      <c r="AH19" s="25" t="s">
        <v>2</v>
      </c>
      <c r="AI19" s="28">
        <f t="shared" ref="AI19:AI22" si="3">AE19-AE19*AG19/100</f>
        <v>0.45704476895570045</v>
      </c>
      <c r="AJ19" s="28">
        <f>IF(AI19&lt;(AI27+AI35),AI19,(AI27+AI35))</f>
        <v>0.45704476895570045</v>
      </c>
      <c r="AK19" s="25"/>
      <c r="AM19" s="25"/>
      <c r="AN19" s="27" t="s">
        <v>26</v>
      </c>
      <c r="AO19" s="28">
        <f>$AO$11*H216/100</f>
        <v>2.469833246625778</v>
      </c>
      <c r="AP19" s="27" t="s">
        <v>84</v>
      </c>
      <c r="AQ19" s="28">
        <f t="shared" ref="AQ19" si="4">K62</f>
        <v>81.226867004682248</v>
      </c>
      <c r="AR19" s="25" t="s">
        <v>2</v>
      </c>
      <c r="AS19" s="28">
        <f t="shared" ref="AS19:AS22" si="5">AO19-AO19*AQ19/100</f>
        <v>0.46366508015163177</v>
      </c>
      <c r="AT19" s="28">
        <f>IF(AS19&lt;(AS27+AS35),AS19,(AS27+AS35))</f>
        <v>0.46366508015163177</v>
      </c>
      <c r="AU19" s="25"/>
    </row>
    <row r="20" spans="2:47" x14ac:dyDescent="0.2">
      <c r="R20"/>
      <c r="S20" s="25"/>
      <c r="T20" s="27" t="s">
        <v>119</v>
      </c>
      <c r="U20" s="28">
        <f>$U$11*H218/100</f>
        <v>1.9750725185569928</v>
      </c>
      <c r="V20" s="27" t="s">
        <v>84</v>
      </c>
      <c r="W20" s="28">
        <f>E64</f>
        <v>50.085294377419189</v>
      </c>
      <c r="X20" s="25" t="s">
        <v>2</v>
      </c>
      <c r="Y20" s="28">
        <f t="shared" si="1"/>
        <v>0.98585163347021576</v>
      </c>
      <c r="Z20" s="28">
        <f>IF(Y20&lt;(Y28+Y36),Y20,(Y28+Y36))</f>
        <v>0.72218247607301633</v>
      </c>
      <c r="AA20" s="25"/>
      <c r="AB20" s="45"/>
      <c r="AC20" s="25"/>
      <c r="AD20" s="27" t="s">
        <v>119</v>
      </c>
      <c r="AE20" s="28">
        <f>$AE$11*H218/100</f>
        <v>2.0189391360331888</v>
      </c>
      <c r="AF20" s="27" t="s">
        <v>84</v>
      </c>
      <c r="AG20" s="28">
        <f>H64</f>
        <v>59.818899334414013</v>
      </c>
      <c r="AH20" s="25" t="s">
        <v>2</v>
      </c>
      <c r="AI20" s="28">
        <f t="shared" si="3"/>
        <v>0.81123196662640762</v>
      </c>
      <c r="AJ20" s="28">
        <f>IF(AI20&lt;(AI28+AI36),AI20,(AI28+AI36))</f>
        <v>0.51073794674306838</v>
      </c>
      <c r="AK20" s="25"/>
      <c r="AM20" s="25"/>
      <c r="AN20" s="27" t="s">
        <v>119</v>
      </c>
      <c r="AO20" s="28">
        <f>$AO$11*H218/100</f>
        <v>2.048183547683986</v>
      </c>
      <c r="AP20" s="27" t="s">
        <v>84</v>
      </c>
      <c r="AQ20" s="28">
        <f>K64</f>
        <v>68.781504770975317</v>
      </c>
      <c r="AR20" s="25" t="s">
        <v>2</v>
      </c>
      <c r="AS20" s="28">
        <f t="shared" si="5"/>
        <v>0.63941208311539377</v>
      </c>
      <c r="AT20" s="28">
        <f>IF(AS20&lt;(AS28+AS36),AS20,(AS28+AS36))</f>
        <v>0.49365586767649194</v>
      </c>
      <c r="AU20" s="25"/>
    </row>
    <row r="21" spans="2:47" x14ac:dyDescent="0.2">
      <c r="R21"/>
      <c r="S21" s="25"/>
      <c r="T21" s="27" t="s">
        <v>120</v>
      </c>
      <c r="U21" s="28">
        <f>$U$11*H219/100</f>
        <v>0.35982652653328145</v>
      </c>
      <c r="V21" s="27" t="s">
        <v>84</v>
      </c>
      <c r="W21" s="28">
        <f t="shared" ref="W21:W24" si="6">E65</f>
        <v>31.377427838836063</v>
      </c>
      <c r="X21" s="25" t="s">
        <v>2</v>
      </c>
      <c r="Y21" s="28">
        <f t="shared" si="1"/>
        <v>0.24692221782531076</v>
      </c>
      <c r="Z21" s="28">
        <f t="shared" ref="Z21" si="7">IF(Y21&lt;(Y29+Y37),Y21,(Y29+Y37))</f>
        <v>0.24692221782531076</v>
      </c>
      <c r="AA21" s="25"/>
      <c r="AB21" s="45"/>
      <c r="AC21" s="25"/>
      <c r="AD21" s="27" t="s">
        <v>120</v>
      </c>
      <c r="AE21" s="28">
        <f>$AE$11*H219/100</f>
        <v>0.36781832047953911</v>
      </c>
      <c r="AF21" s="27" t="s">
        <v>84</v>
      </c>
      <c r="AG21" s="28">
        <f t="shared" ref="AG21:AG24" si="8">H65</f>
        <v>37.475335237530274</v>
      </c>
      <c r="AH21" s="25" t="s">
        <v>2</v>
      </c>
      <c r="AI21" s="28">
        <f t="shared" si="3"/>
        <v>0.22997717181477836</v>
      </c>
      <c r="AJ21" s="28">
        <f t="shared" ref="AJ21" si="9">IF(AI21&lt;(AI29+AI37),AI21,(AI29+AI37))</f>
        <v>0.22997717181477836</v>
      </c>
      <c r="AK21" s="25"/>
      <c r="AM21" s="25"/>
      <c r="AN21" s="27" t="s">
        <v>120</v>
      </c>
      <c r="AO21" s="28">
        <f>$AO$11*H219/100</f>
        <v>0.37314618311037767</v>
      </c>
      <c r="AP21" s="27" t="s">
        <v>84</v>
      </c>
      <c r="AQ21" s="28">
        <f t="shared" ref="AQ21:AQ24" si="10">K65</f>
        <v>43.090226970311072</v>
      </c>
      <c r="AR21" s="25" t="s">
        <v>2</v>
      </c>
      <c r="AS21" s="28">
        <f t="shared" si="5"/>
        <v>0.21235664587706338</v>
      </c>
      <c r="AT21" s="28">
        <f t="shared" ref="AT21" si="11">IF(AS21&lt;(AS29+AS37),AS21,(AS29+AS37))</f>
        <v>0.21235664587706338</v>
      </c>
      <c r="AU21" s="25"/>
    </row>
    <row r="22" spans="2:47" x14ac:dyDescent="0.2">
      <c r="H22" s="2"/>
      <c r="R22"/>
      <c r="S22" s="25"/>
      <c r="T22" s="27" t="s">
        <v>28</v>
      </c>
      <c r="U22" s="28">
        <f>$U$11*H220/100</f>
        <v>16.809670945221271</v>
      </c>
      <c r="V22" s="27" t="s">
        <v>84</v>
      </c>
      <c r="W22" s="28">
        <f t="shared" si="6"/>
        <v>32.953929403991523</v>
      </c>
      <c r="X22" s="25" t="s">
        <v>2</v>
      </c>
      <c r="Y22" s="28">
        <f t="shared" si="1"/>
        <v>11.270223848889778</v>
      </c>
      <c r="Z22" s="28">
        <f>IF(Y22&lt;(Y30+Y38),Y22,(Y30+Y38))</f>
        <v>11.270223848889778</v>
      </c>
      <c r="AA22" s="25"/>
      <c r="AB22" s="45"/>
      <c r="AC22" s="25"/>
      <c r="AD22" s="27" t="s">
        <v>28</v>
      </c>
      <c r="AE22" s="28">
        <f>$AE$11*H220/100</f>
        <v>17.183015922849478</v>
      </c>
      <c r="AF22" s="27" t="s">
        <v>84</v>
      </c>
      <c r="AG22" s="28">
        <f t="shared" si="8"/>
        <v>49.408842715871522</v>
      </c>
      <c r="AH22" s="25" t="s">
        <v>2</v>
      </c>
      <c r="AI22" s="28">
        <f t="shared" si="3"/>
        <v>8.6930866116856205</v>
      </c>
      <c r="AJ22" s="28">
        <f>IF(AI22&lt;(AI30+AI38),AI22,(AI30+AI38))</f>
        <v>8.6930866116856205</v>
      </c>
      <c r="AK22" s="25"/>
      <c r="AM22" s="25"/>
      <c r="AN22" s="27" t="s">
        <v>28</v>
      </c>
      <c r="AO22" s="28">
        <f>$AO$11*H220/100</f>
        <v>17.431912574601618</v>
      </c>
      <c r="AP22" s="27" t="s">
        <v>84</v>
      </c>
      <c r="AQ22" s="28">
        <f t="shared" si="10"/>
        <v>72.606789841247078</v>
      </c>
      <c r="AR22" s="25" t="s">
        <v>2</v>
      </c>
      <c r="AS22" s="28">
        <f t="shared" si="5"/>
        <v>4.7751604462506982</v>
      </c>
      <c r="AT22" s="28">
        <f>IF(AS22&lt;(AS30+AS38),AS22,(AS30+AS38))</f>
        <v>4.7751604462506982</v>
      </c>
      <c r="AU22" s="25"/>
    </row>
    <row r="23" spans="2:47" x14ac:dyDescent="0.2">
      <c r="B23" s="4" t="s">
        <v>169</v>
      </c>
      <c r="R23"/>
      <c r="S23" s="25"/>
      <c r="T23" s="27" t="s">
        <v>107</v>
      </c>
      <c r="U23" s="28">
        <f>$U$11*H221/100</f>
        <v>0.41146167138226708</v>
      </c>
      <c r="V23" s="27" t="s">
        <v>84</v>
      </c>
      <c r="W23" s="28">
        <f t="shared" si="6"/>
        <v>0</v>
      </c>
      <c r="X23" s="25" t="s">
        <v>2</v>
      </c>
      <c r="Y23" s="28">
        <f>U23-U23*W23/100</f>
        <v>0.41146167138226708</v>
      </c>
      <c r="Z23" s="28">
        <f>IF(Y23&lt;(Y31+Y40),Y23,(Y31+Y40))</f>
        <v>0.41146167138226708</v>
      </c>
      <c r="AA23" s="25"/>
      <c r="AB23" s="45"/>
      <c r="AC23" s="25"/>
      <c r="AD23" s="27" t="s">
        <v>107</v>
      </c>
      <c r="AE23" s="28">
        <f>$AE$11*H221/100</f>
        <v>0.42060028861027116</v>
      </c>
      <c r="AF23" s="27" t="s">
        <v>84</v>
      </c>
      <c r="AG23" s="28">
        <f t="shared" si="8"/>
        <v>0</v>
      </c>
      <c r="AH23" s="25" t="s">
        <v>2</v>
      </c>
      <c r="AI23" s="28">
        <f>AE23-AE23*AG23/100</f>
        <v>0.42060028861027116</v>
      </c>
      <c r="AJ23" s="28">
        <f>IF(AI23&lt;(AI31+AI40),AI23,(AI31+AI40))</f>
        <v>0.42060028861027116</v>
      </c>
      <c r="AK23" s="25"/>
      <c r="AM23" s="25"/>
      <c r="AN23" s="27" t="s">
        <v>107</v>
      </c>
      <c r="AO23" s="28">
        <f>$AO$11*H221/100</f>
        <v>0.42669270009560711</v>
      </c>
      <c r="AP23" s="27" t="s">
        <v>84</v>
      </c>
      <c r="AQ23" s="28">
        <f t="shared" si="10"/>
        <v>0</v>
      </c>
      <c r="AR23" s="25" t="s">
        <v>2</v>
      </c>
      <c r="AS23" s="28">
        <f>AO23-AO23*AQ23/100</f>
        <v>0.42669270009560711</v>
      </c>
      <c r="AT23" s="28">
        <f>IF(AS23&lt;(AS31+AS40),AS23,(AS31+AS40))</f>
        <v>0.42669270009560711</v>
      </c>
      <c r="AU23" s="25"/>
    </row>
    <row r="24" spans="2:47" x14ac:dyDescent="0.2">
      <c r="B24" t="str">
        <f>'option 3.3 limiting landfill'!B24</f>
        <v>as in BAU</v>
      </c>
      <c r="R24"/>
      <c r="S24" s="25"/>
      <c r="T24" s="27" t="s">
        <v>29</v>
      </c>
      <c r="U24" s="28">
        <f>$U$11*H222/100</f>
        <v>9.4489402479585731</v>
      </c>
      <c r="V24" s="27" t="s">
        <v>84</v>
      </c>
      <c r="W24" s="28">
        <f t="shared" si="6"/>
        <v>0</v>
      </c>
      <c r="X24" s="25" t="s">
        <v>2</v>
      </c>
      <c r="Y24" s="28">
        <f t="shared" si="1"/>
        <v>9.4489402479585731</v>
      </c>
      <c r="Z24" s="28">
        <f>IF(Y24&lt;(Y32+Y40),Y24,(Y32+Y40))</f>
        <v>9.4489402479585731</v>
      </c>
      <c r="AA24" s="25"/>
      <c r="AB24" s="45"/>
      <c r="AC24" s="25"/>
      <c r="AD24" s="27" t="s">
        <v>29</v>
      </c>
      <c r="AE24" s="28">
        <f>$AE$11*H222/100</f>
        <v>9.6588024396088663</v>
      </c>
      <c r="AF24" s="27" t="s">
        <v>84</v>
      </c>
      <c r="AG24" s="28">
        <f t="shared" si="8"/>
        <v>0</v>
      </c>
      <c r="AH24" s="25" t="s">
        <v>2</v>
      </c>
      <c r="AI24" s="28">
        <f t="shared" ref="AI24" si="12">AE24-AE24*AG24/100</f>
        <v>9.6588024396088663</v>
      </c>
      <c r="AJ24" s="28">
        <f>IF(AI24&lt;(AI32+AI40),AI24,(AI32+AI40))</f>
        <v>9.6588024396088663</v>
      </c>
      <c r="AK24" s="25"/>
      <c r="AM24" s="25"/>
      <c r="AN24" s="27" t="s">
        <v>29</v>
      </c>
      <c r="AO24" s="28">
        <f>$AO$11*H222/100</f>
        <v>9.7987105673757284</v>
      </c>
      <c r="AP24" s="27" t="s">
        <v>84</v>
      </c>
      <c r="AQ24" s="28">
        <f t="shared" si="10"/>
        <v>0</v>
      </c>
      <c r="AR24" s="25" t="s">
        <v>2</v>
      </c>
      <c r="AS24" s="28">
        <f t="shared" ref="AS24" si="13">AO24-AO24*AQ24/100</f>
        <v>9.7987105673757284</v>
      </c>
      <c r="AT24" s="28">
        <f>IF(AS24&lt;(AS32+AS40),AS24,(AS32+AS40))</f>
        <v>9.7987105673757284</v>
      </c>
      <c r="AU24" s="25"/>
    </row>
    <row r="25" spans="2:47" x14ac:dyDescent="0.2">
      <c r="B25" s="79" t="str">
        <f>'option 3.3 limiting landfill'!B25</f>
        <v>consumer (MSW)</v>
      </c>
      <c r="C25" s="11">
        <f>'option 3.3 limiting landfill'!C25</f>
        <v>0.78366280390281762</v>
      </c>
      <c r="D25" s="79"/>
      <c r="E25" s="79"/>
      <c r="F25" s="79"/>
      <c r="G25" s="307"/>
      <c r="H25" s="80"/>
      <c r="I25" s="80"/>
      <c r="J25" s="80"/>
      <c r="K25" s="80"/>
      <c r="L25" s="79"/>
      <c r="M25" s="79"/>
      <c r="N25" s="79"/>
      <c r="R25"/>
      <c r="S25" s="25"/>
      <c r="T25" s="25"/>
      <c r="U25" s="26"/>
      <c r="V25" s="25"/>
      <c r="W25" s="25"/>
      <c r="X25" s="25"/>
      <c r="Y25" s="25"/>
      <c r="Z25" s="26"/>
      <c r="AA25" s="25"/>
      <c r="AB25" s="45"/>
      <c r="AC25" s="25"/>
      <c r="AD25" s="25"/>
      <c r="AE25" s="26"/>
      <c r="AF25" s="25"/>
      <c r="AG25" s="25"/>
      <c r="AH25" s="25"/>
      <c r="AI25" s="25"/>
      <c r="AJ25" s="26"/>
      <c r="AK25" s="25"/>
      <c r="AM25" s="25"/>
      <c r="AN25" s="25"/>
      <c r="AO25" s="26"/>
      <c r="AP25" s="25"/>
      <c r="AQ25" s="25"/>
      <c r="AR25" s="25"/>
      <c r="AS25" s="25"/>
      <c r="AT25" s="26"/>
      <c r="AU25" s="25"/>
    </row>
    <row r="26" spans="2:47" x14ac:dyDescent="0.2">
      <c r="B26" s="79" t="str">
        <f>'option 3.3 limiting landfill'!B26</f>
        <v>industrial</v>
      </c>
      <c r="C26" s="11">
        <f>'option 3.3 limiting landfill'!C26</f>
        <v>0.21633719609718238</v>
      </c>
      <c r="D26" s="79"/>
      <c r="E26" s="11"/>
      <c r="F26" s="11"/>
      <c r="G26" s="307"/>
      <c r="H26" s="11"/>
      <c r="I26" s="11"/>
      <c r="J26" s="11"/>
      <c r="K26" s="11"/>
      <c r="L26" s="79"/>
      <c r="M26" s="11"/>
      <c r="N26" s="11"/>
      <c r="O26" s="11"/>
      <c r="P26" s="11"/>
      <c r="Q26" s="11"/>
      <c r="R26" s="11"/>
      <c r="S26" s="25"/>
      <c r="T26" s="27" t="s">
        <v>38</v>
      </c>
      <c r="U26" s="28">
        <f>$U$15*H140/100</f>
        <v>40.714176822055109</v>
      </c>
      <c r="V26" s="27" t="s">
        <v>84</v>
      </c>
      <c r="W26" s="28">
        <f>E174</f>
        <v>16.271461568041236</v>
      </c>
      <c r="X26" s="25" t="s">
        <v>2</v>
      </c>
      <c r="Y26" s="28">
        <f>U26-W26*U26/100</f>
        <v>34.089385187710057</v>
      </c>
      <c r="Z26" s="29" t="s">
        <v>97</v>
      </c>
      <c r="AA26" s="25"/>
      <c r="AB26" s="45"/>
      <c r="AC26" s="25"/>
      <c r="AD26" s="27" t="s">
        <v>38</v>
      </c>
      <c r="AE26" s="28">
        <f>$AE$15*H140/100</f>
        <v>41.618443983757182</v>
      </c>
      <c r="AF26" s="27" t="s">
        <v>84</v>
      </c>
      <c r="AG26" s="190">
        <f>F174</f>
        <v>39.106517504029995</v>
      </c>
      <c r="AH26" s="25" t="s">
        <v>2</v>
      </c>
      <c r="AI26" s="28">
        <f>AE26-AG26*AE26/100</f>
        <v>25.34291990234426</v>
      </c>
      <c r="AJ26" s="29" t="s">
        <v>97</v>
      </c>
      <c r="AK26" s="25"/>
      <c r="AM26" s="25"/>
      <c r="AN26" s="27" t="s">
        <v>38</v>
      </c>
      <c r="AO26" s="28">
        <f>$AO$15*H140/100</f>
        <v>42.221288758225228</v>
      </c>
      <c r="AP26" s="27" t="s">
        <v>84</v>
      </c>
      <c r="AQ26" s="190">
        <f>G174</f>
        <v>39.106517504029995</v>
      </c>
      <c r="AR26" s="25" t="s">
        <v>2</v>
      </c>
      <c r="AS26" s="28">
        <f>AO26-AQ26*AO26/100</f>
        <v>25.710013079562831</v>
      </c>
      <c r="AT26" s="29" t="s">
        <v>97</v>
      </c>
      <c r="AU26" s="25"/>
    </row>
    <row r="27" spans="2:47" x14ac:dyDescent="0.2">
      <c r="B27" s="81"/>
      <c r="C27" s="11"/>
      <c r="D27" s="11"/>
      <c r="E27" s="11"/>
      <c r="F27" s="11"/>
      <c r="G27" s="307"/>
      <c r="H27" s="11"/>
      <c r="I27" s="11"/>
      <c r="J27" s="11"/>
      <c r="K27" s="11"/>
      <c r="L27" s="79"/>
      <c r="M27" s="11"/>
      <c r="N27" s="11"/>
      <c r="O27" s="11"/>
      <c r="P27" s="11"/>
      <c r="Q27" s="11"/>
      <c r="R27" s="11"/>
      <c r="S27" s="25"/>
      <c r="T27" s="27" t="s">
        <v>39</v>
      </c>
      <c r="U27" s="28">
        <f>$U$15*H141/100</f>
        <v>2.0770514927350527</v>
      </c>
      <c r="V27" s="27" t="s">
        <v>84</v>
      </c>
      <c r="W27" s="28">
        <f t="shared" ref="W27" si="14">E175</f>
        <v>0</v>
      </c>
      <c r="X27" s="25" t="s">
        <v>2</v>
      </c>
      <c r="Y27" s="28">
        <f t="shared" ref="Y27:Y32" si="15">U27-W27*U27/100</f>
        <v>2.0770514927350527</v>
      </c>
      <c r="Z27" s="29" t="s">
        <v>97</v>
      </c>
      <c r="AA27" s="25"/>
      <c r="AB27" s="45"/>
      <c r="AC27" s="25"/>
      <c r="AD27" s="27" t="s">
        <v>39</v>
      </c>
      <c r="AE27" s="28">
        <f t="shared" ref="AE27" si="16">$AE$15*H141/100</f>
        <v>2.1231830764891209</v>
      </c>
      <c r="AF27" s="27" t="s">
        <v>84</v>
      </c>
      <c r="AG27" s="190">
        <f t="shared" ref="AG27" si="17">F175</f>
        <v>30.645645813085515</v>
      </c>
      <c r="AH27" s="25" t="s">
        <v>2</v>
      </c>
      <c r="AI27" s="28">
        <f t="shared" ref="AI27" si="18">AE27-AG27*AE27/100</f>
        <v>1.4725199109048923</v>
      </c>
      <c r="AJ27" s="29" t="s">
        <v>97</v>
      </c>
      <c r="AK27" s="25"/>
      <c r="AM27" s="25"/>
      <c r="AN27" s="27" t="s">
        <v>39</v>
      </c>
      <c r="AO27" s="28">
        <f t="shared" ref="AO27" si="19">$AO$15*H141/100</f>
        <v>2.1539374656584998</v>
      </c>
      <c r="AP27" s="27" t="s">
        <v>84</v>
      </c>
      <c r="AQ27" s="190">
        <f t="shared" ref="AQ27" si="20">G175</f>
        <v>30.645645813085515</v>
      </c>
      <c r="AR27" s="25" t="s">
        <v>2</v>
      </c>
      <c r="AS27" s="28">
        <f t="shared" ref="AS27" si="21">AO27-AQ27*AO27/100</f>
        <v>1.4938494188974456</v>
      </c>
      <c r="AT27" s="29" t="s">
        <v>97</v>
      </c>
      <c r="AU27" s="25"/>
    </row>
    <row r="28" spans="2:47" x14ac:dyDescent="0.2">
      <c r="B28" s="81"/>
      <c r="C28" s="11"/>
      <c r="D28" s="11"/>
      <c r="E28" s="11"/>
      <c r="F28" s="11"/>
      <c r="G28" s="307"/>
      <c r="H28" s="308"/>
      <c r="I28" s="308"/>
      <c r="J28" s="308"/>
      <c r="K28" s="308"/>
      <c r="L28" s="79"/>
      <c r="M28" s="11"/>
      <c r="N28" s="79"/>
      <c r="R28"/>
      <c r="S28" s="25"/>
      <c r="T28" s="27" t="s">
        <v>115</v>
      </c>
      <c r="U28" s="28">
        <f>$U$15*H143/100</f>
        <v>1.7116858693363994</v>
      </c>
      <c r="V28" s="27" t="s">
        <v>84</v>
      </c>
      <c r="W28" s="28">
        <f>E177</f>
        <v>65.489356660145219</v>
      </c>
      <c r="X28" s="25" t="s">
        <v>2</v>
      </c>
      <c r="Y28" s="28">
        <f>U28-W28*U28/100</f>
        <v>0.59071380546537755</v>
      </c>
      <c r="Z28" s="29" t="s">
        <v>97</v>
      </c>
      <c r="AA28" s="25"/>
      <c r="AB28" s="45"/>
      <c r="AC28" s="25"/>
      <c r="AD28" s="27" t="s">
        <v>115</v>
      </c>
      <c r="AE28" s="28">
        <f>$AE$15*H143/100</f>
        <v>1.7497026350825242</v>
      </c>
      <c r="AF28" s="27" t="s">
        <v>84</v>
      </c>
      <c r="AG28" s="190">
        <f>F177</f>
        <v>76.992904440096808</v>
      </c>
      <c r="AH28" s="25" t="s">
        <v>2</v>
      </c>
      <c r="AI28" s="28">
        <f>AE28-AG28*AE28/100</f>
        <v>0.40255575726758042</v>
      </c>
      <c r="AJ28" s="29" t="s">
        <v>97</v>
      </c>
      <c r="AK28" s="25"/>
      <c r="AM28" s="25"/>
      <c r="AN28" s="27" t="s">
        <v>115</v>
      </c>
      <c r="AO28" s="28">
        <f>$AO$15*H143/100</f>
        <v>1.7750471455799408</v>
      </c>
      <c r="AP28" s="27" t="s">
        <v>84</v>
      </c>
      <c r="AQ28" s="190">
        <f>G177</f>
        <v>76.992904440096808</v>
      </c>
      <c r="AR28" s="25" t="s">
        <v>2</v>
      </c>
      <c r="AS28" s="28">
        <f>AO28-AQ28*AO28/100</f>
        <v>0.40838679301691094</v>
      </c>
      <c r="AT28" s="29" t="s">
        <v>97</v>
      </c>
      <c r="AU28" s="25"/>
    </row>
    <row r="29" spans="2:47" x14ac:dyDescent="0.2">
      <c r="B29" s="82"/>
      <c r="C29" s="82"/>
      <c r="D29" s="82"/>
      <c r="E29" s="82"/>
      <c r="F29" s="82"/>
      <c r="G29" s="307"/>
      <c r="H29" s="11"/>
      <c r="I29" s="11"/>
      <c r="J29" s="11"/>
      <c r="K29" s="11"/>
      <c r="L29" s="79"/>
      <c r="M29" s="75"/>
      <c r="N29" s="11"/>
      <c r="O29" s="3"/>
      <c r="P29" s="3"/>
      <c r="Q29" s="3"/>
      <c r="R29" s="3"/>
      <c r="S29" s="25"/>
      <c r="T29" s="27" t="s">
        <v>116</v>
      </c>
      <c r="U29" s="28">
        <f>$U$15*H144/100</f>
        <v>0.31184170459189348</v>
      </c>
      <c r="V29" s="27" t="s">
        <v>84</v>
      </c>
      <c r="W29" s="28">
        <f t="shared" ref="W29:W32" si="22">E178</f>
        <v>0</v>
      </c>
      <c r="X29" s="25" t="s">
        <v>2</v>
      </c>
      <c r="Y29" s="28">
        <f>U29-W29*U29/100</f>
        <v>0.31184170459189348</v>
      </c>
      <c r="Z29" s="29" t="s">
        <v>97</v>
      </c>
      <c r="AA29" s="25"/>
      <c r="AB29" s="45"/>
      <c r="AC29" s="25"/>
      <c r="AD29" s="27" t="s">
        <v>116</v>
      </c>
      <c r="AE29" s="28">
        <f t="shared" ref="AE29:AE32" si="23">$AE$15*H144/100</f>
        <v>0.31876774940287178</v>
      </c>
      <c r="AF29" s="27" t="s">
        <v>84</v>
      </c>
      <c r="AG29" s="190">
        <f t="shared" ref="AG29:AG32" si="24">F178</f>
        <v>20.281904133418234</v>
      </c>
      <c r="AH29" s="25" t="s">
        <v>2</v>
      </c>
      <c r="AI29" s="28">
        <f>AE29-AG29*AE29/100</f>
        <v>0.25411558006072643</v>
      </c>
      <c r="AJ29" s="29" t="s">
        <v>97</v>
      </c>
      <c r="AK29" s="25"/>
      <c r="AM29" s="25"/>
      <c r="AN29" s="27" t="s">
        <v>116</v>
      </c>
      <c r="AO29" s="28">
        <f t="shared" ref="AO29:AO32" si="25">$AO$15*H144/100</f>
        <v>0.32338511261019065</v>
      </c>
      <c r="AP29" s="27" t="s">
        <v>84</v>
      </c>
      <c r="AQ29" s="190">
        <f t="shared" ref="AQ29:AQ32" si="26">G178</f>
        <v>20.281904133418234</v>
      </c>
      <c r="AR29" s="25" t="s">
        <v>2</v>
      </c>
      <c r="AS29" s="28">
        <f>AO29-AQ29*AO29/100</f>
        <v>0.25779645408884516</v>
      </c>
      <c r="AT29" s="29" t="s">
        <v>97</v>
      </c>
      <c r="AU29" s="25"/>
    </row>
    <row r="30" spans="2:47" x14ac:dyDescent="0.2">
      <c r="R30"/>
      <c r="S30" s="25"/>
      <c r="T30" s="27" t="s">
        <v>41</v>
      </c>
      <c r="U30" s="28">
        <f>$U$15*H145/100</f>
        <v>3.6641848489839943</v>
      </c>
      <c r="V30" s="27" t="s">
        <v>84</v>
      </c>
      <c r="W30" s="28">
        <f t="shared" si="22"/>
        <v>11.989711536792784</v>
      </c>
      <c r="X30" s="25" t="s">
        <v>2</v>
      </c>
      <c r="Y30" s="28">
        <f t="shared" si="15"/>
        <v>3.2248596554159472</v>
      </c>
      <c r="Z30" s="29" t="s">
        <v>97</v>
      </c>
      <c r="AA30" s="25"/>
      <c r="AB30" s="45"/>
      <c r="AC30" s="25"/>
      <c r="AD30" s="27" t="s">
        <v>41</v>
      </c>
      <c r="AE30" s="28">
        <f t="shared" si="23"/>
        <v>3.7455668709716674</v>
      </c>
      <c r="AF30" s="27" t="s">
        <v>84</v>
      </c>
      <c r="AG30" s="190">
        <f t="shared" si="24"/>
        <v>41.326474357861855</v>
      </c>
      <c r="AH30" s="25" t="s">
        <v>2</v>
      </c>
      <c r="AI30" s="28">
        <f t="shared" ref="AI30:AI32" si="27">AE30-AG30*AE30/100</f>
        <v>2.1976561384829925</v>
      </c>
      <c r="AJ30" s="29" t="s">
        <v>97</v>
      </c>
      <c r="AK30" s="25"/>
      <c r="AM30" s="25"/>
      <c r="AN30" s="27" t="s">
        <v>41</v>
      </c>
      <c r="AO30" s="28">
        <f t="shared" si="25"/>
        <v>3.7998215522967826</v>
      </c>
      <c r="AP30" s="27" t="s">
        <v>84</v>
      </c>
      <c r="AQ30" s="190">
        <f t="shared" si="26"/>
        <v>41.326474357861855</v>
      </c>
      <c r="AR30" s="25" t="s">
        <v>2</v>
      </c>
      <c r="AS30" s="28">
        <f t="shared" ref="AS30:AS32" si="28">AO30-AQ30*AO30/100</f>
        <v>2.2294892728423443</v>
      </c>
      <c r="AT30" s="29" t="s">
        <v>97</v>
      </c>
      <c r="AU30" s="25"/>
    </row>
    <row r="31" spans="2:47" x14ac:dyDescent="0.2">
      <c r="R31"/>
      <c r="S31" s="25"/>
      <c r="T31" s="27" t="s">
        <v>105</v>
      </c>
      <c r="U31" s="28">
        <f>$U$15*H146/100</f>
        <v>0.35883503911995668</v>
      </c>
      <c r="V31" s="27" t="s">
        <v>84</v>
      </c>
      <c r="W31" s="28">
        <f t="shared" si="22"/>
        <v>19.759364714446594</v>
      </c>
      <c r="X31" s="25" t="s">
        <v>2</v>
      </c>
      <c r="Y31" s="28">
        <f t="shared" si="15"/>
        <v>0.2879315150170173</v>
      </c>
      <c r="Z31" s="29" t="s">
        <v>97</v>
      </c>
      <c r="AA31" s="25"/>
      <c r="AB31" s="45"/>
      <c r="AC31" s="25"/>
      <c r="AD31" s="27" t="s">
        <v>105</v>
      </c>
      <c r="AE31" s="28">
        <f t="shared" si="23"/>
        <v>0.36680481200183107</v>
      </c>
      <c r="AF31" s="27" t="s">
        <v>84</v>
      </c>
      <c r="AG31" s="190">
        <f t="shared" si="24"/>
        <v>43.831555300112619</v>
      </c>
      <c r="AH31" s="25" t="s">
        <v>2</v>
      </c>
      <c r="AI31" s="28">
        <f t="shared" si="27"/>
        <v>0.20602855798577435</v>
      </c>
      <c r="AJ31" s="29" t="s">
        <v>97</v>
      </c>
      <c r="AK31" s="25"/>
      <c r="AM31" s="25"/>
      <c r="AN31" s="27" t="s">
        <v>105</v>
      </c>
      <c r="AO31" s="28">
        <f t="shared" si="25"/>
        <v>0.37211799392308076</v>
      </c>
      <c r="AP31" s="27" t="s">
        <v>84</v>
      </c>
      <c r="AQ31" s="190">
        <f t="shared" si="26"/>
        <v>43.831555300112619</v>
      </c>
      <c r="AR31" s="25" t="s">
        <v>2</v>
      </c>
      <c r="AS31" s="28">
        <f t="shared" si="28"/>
        <v>0.20901288963501591</v>
      </c>
      <c r="AT31" s="29" t="s">
        <v>97</v>
      </c>
      <c r="AU31" s="25"/>
    </row>
    <row r="32" spans="2:47" x14ac:dyDescent="0.2">
      <c r="R32"/>
      <c r="S32" s="25"/>
      <c r="T32" s="27" t="s">
        <v>52</v>
      </c>
      <c r="U32" s="28">
        <f>$U$15*H147/100</f>
        <v>0.18120725081092665</v>
      </c>
      <c r="V32" s="27" t="s">
        <v>84</v>
      </c>
      <c r="W32" s="28">
        <f t="shared" si="22"/>
        <v>0</v>
      </c>
      <c r="X32" s="25" t="s">
        <v>2</v>
      </c>
      <c r="Y32" s="28">
        <f t="shared" si="15"/>
        <v>0.18120725081092665</v>
      </c>
      <c r="Z32" s="29" t="s">
        <v>97</v>
      </c>
      <c r="AA32" s="25"/>
      <c r="AB32" s="45"/>
      <c r="AC32" s="25"/>
      <c r="AD32" s="27" t="s">
        <v>52</v>
      </c>
      <c r="AE32" s="28">
        <f t="shared" si="23"/>
        <v>0.18523188741568464</v>
      </c>
      <c r="AF32" s="27" t="s">
        <v>84</v>
      </c>
      <c r="AG32" s="190">
        <f t="shared" si="24"/>
        <v>0</v>
      </c>
      <c r="AH32" s="25" t="s">
        <v>2</v>
      </c>
      <c r="AI32" s="28">
        <f t="shared" si="27"/>
        <v>0.18523188741568464</v>
      </c>
      <c r="AJ32" s="29" t="s">
        <v>97</v>
      </c>
      <c r="AK32" s="25"/>
      <c r="AM32" s="25"/>
      <c r="AN32" s="27" t="s">
        <v>52</v>
      </c>
      <c r="AO32" s="28">
        <f t="shared" si="25"/>
        <v>0.1879149784855233</v>
      </c>
      <c r="AP32" s="27" t="s">
        <v>84</v>
      </c>
      <c r="AQ32" s="190">
        <f t="shared" si="26"/>
        <v>0</v>
      </c>
      <c r="AR32" s="25" t="s">
        <v>2</v>
      </c>
      <c r="AS32" s="28">
        <f t="shared" si="28"/>
        <v>0.1879149784855233</v>
      </c>
      <c r="AT32" s="29" t="s">
        <v>97</v>
      </c>
      <c r="AU32" s="25"/>
    </row>
    <row r="33" spans="2:47" x14ac:dyDescent="0.2">
      <c r="R33"/>
      <c r="S33" s="25"/>
      <c r="T33" s="27"/>
      <c r="U33" s="26"/>
      <c r="V33" s="25"/>
      <c r="W33" s="25"/>
      <c r="X33" s="25"/>
      <c r="Y33" s="26"/>
      <c r="Z33" s="26"/>
      <c r="AA33" s="25"/>
      <c r="AB33" s="45"/>
      <c r="AC33" s="25"/>
      <c r="AD33" s="27"/>
      <c r="AE33" s="26"/>
      <c r="AF33" s="25"/>
      <c r="AG33" s="25"/>
      <c r="AH33" s="25"/>
      <c r="AI33" s="26"/>
      <c r="AJ33" s="26"/>
      <c r="AK33" s="25"/>
      <c r="AM33" s="25"/>
      <c r="AN33" s="27"/>
      <c r="AO33" s="26"/>
      <c r="AP33" s="25"/>
      <c r="AQ33" s="25"/>
      <c r="AR33" s="25"/>
      <c r="AS33" s="26"/>
      <c r="AT33" s="26"/>
      <c r="AU33" s="25"/>
    </row>
    <row r="34" spans="2:47" x14ac:dyDescent="0.2">
      <c r="B34" s="84" t="s">
        <v>22</v>
      </c>
      <c r="C34" s="53"/>
      <c r="D34">
        <v>2012</v>
      </c>
      <c r="E34" s="10">
        <f>'option 3.3 limiting landfill'!E34</f>
        <v>24.434055020947763</v>
      </c>
      <c r="F34" t="s">
        <v>2</v>
      </c>
      <c r="R34"/>
      <c r="S34" s="25"/>
      <c r="T34" s="27" t="s">
        <v>42</v>
      </c>
      <c r="U34" s="28">
        <f t="shared" ref="U34:U40" si="29">U18-U26</f>
        <v>8.5361267934467833</v>
      </c>
      <c r="V34" s="27" t="s">
        <v>84</v>
      </c>
      <c r="W34" s="28">
        <f>W18</f>
        <v>26.030271701672291</v>
      </c>
      <c r="X34" s="25" t="s">
        <v>2</v>
      </c>
      <c r="Y34" s="28">
        <f>U34-W34*U34/100</f>
        <v>6.3141497963133393</v>
      </c>
      <c r="Z34" s="29" t="s">
        <v>97</v>
      </c>
      <c r="AA34" s="25"/>
      <c r="AB34" s="45"/>
      <c r="AC34" s="25"/>
      <c r="AD34" s="27" t="s">
        <v>42</v>
      </c>
      <c r="AE34" s="28">
        <f t="shared" ref="AE34:AE40" si="30">AE18-AE26</f>
        <v>8.725715279569819</v>
      </c>
      <c r="AF34" s="27" t="s">
        <v>84</v>
      </c>
      <c r="AG34" s="28">
        <f>AG18</f>
        <v>36.343694104712718</v>
      </c>
      <c r="AH34" s="25" t="s">
        <v>2</v>
      </c>
      <c r="AI34" s="28">
        <f>AE34-AG34*AE34/100</f>
        <v>5.5544680099147854</v>
      </c>
      <c r="AJ34" s="29" t="s">
        <v>97</v>
      </c>
      <c r="AK34" s="25"/>
      <c r="AM34" s="25"/>
      <c r="AN34" s="27" t="s">
        <v>42</v>
      </c>
      <c r="AO34" s="28">
        <f t="shared" ref="AO34:AO40" si="31">AO18-AO26</f>
        <v>8.8521076036518451</v>
      </c>
      <c r="AP34" s="27" t="s">
        <v>84</v>
      </c>
      <c r="AQ34" s="28">
        <f>AQ18</f>
        <v>36.343694104712718</v>
      </c>
      <c r="AR34" s="25" t="s">
        <v>2</v>
      </c>
      <c r="AS34" s="28">
        <f>AO34-AQ34*AO34/100</f>
        <v>5.6349246943606035</v>
      </c>
      <c r="AT34" s="29" t="s">
        <v>97</v>
      </c>
      <c r="AU34" s="25"/>
    </row>
    <row r="35" spans="2:47" x14ac:dyDescent="0.2">
      <c r="D35">
        <v>2020</v>
      </c>
      <c r="E35" s="34">
        <f>'option 2 single calculation met'!E35</f>
        <v>50</v>
      </c>
      <c r="F35" t="s">
        <v>2</v>
      </c>
      <c r="G35" t="s">
        <v>237</v>
      </c>
      <c r="R35"/>
      <c r="S35" s="25"/>
      <c r="T35" s="27" t="s">
        <v>43</v>
      </c>
      <c r="U35" s="28">
        <f t="shared" si="29"/>
        <v>0.30461970872780064</v>
      </c>
      <c r="V35" s="27" t="s">
        <v>84</v>
      </c>
      <c r="W35" s="28">
        <f>W19</f>
        <v>54.175412615358866</v>
      </c>
      <c r="X35" s="25" t="s">
        <v>2</v>
      </c>
      <c r="Y35" s="28">
        <f t="shared" ref="Y35:Y40" si="32">U35-W35*U35/100</f>
        <v>0.1395907246168103</v>
      </c>
      <c r="Z35" s="29" t="s">
        <v>97</v>
      </c>
      <c r="AA35" s="25"/>
      <c r="AB35" s="45"/>
      <c r="AC35" s="25"/>
      <c r="AD35" s="27" t="s">
        <v>43</v>
      </c>
      <c r="AE35" s="28">
        <f t="shared" si="30"/>
        <v>0.3113853520714871</v>
      </c>
      <c r="AF35" s="27" t="s">
        <v>84</v>
      </c>
      <c r="AG35" s="28">
        <f>AG19</f>
        <v>81.226867004682248</v>
      </c>
      <c r="AH35" s="25" t="s">
        <v>2</v>
      </c>
      <c r="AI35" s="28">
        <f t="shared" ref="AI35" si="33">AE35-AG35*AE35/100</f>
        <v>5.8456786272318706E-2</v>
      </c>
      <c r="AJ35" s="29" t="s">
        <v>97</v>
      </c>
      <c r="AK35" s="25"/>
      <c r="AM35" s="25"/>
      <c r="AN35" s="27" t="s">
        <v>43</v>
      </c>
      <c r="AO35" s="28">
        <f t="shared" si="31"/>
        <v>0.31589578096727822</v>
      </c>
      <c r="AP35" s="27" t="s">
        <v>84</v>
      </c>
      <c r="AQ35" s="28">
        <f>AQ19</f>
        <v>81.226867004682248</v>
      </c>
      <c r="AR35" s="25" t="s">
        <v>2</v>
      </c>
      <c r="AS35" s="28">
        <f t="shared" ref="AS35" si="34">AO35-AQ35*AO35/100</f>
        <v>5.9303535087584791E-2</v>
      </c>
      <c r="AT35" s="29" t="s">
        <v>97</v>
      </c>
      <c r="AU35" s="25"/>
    </row>
    <row r="36" spans="2:47" x14ac:dyDescent="0.2">
      <c r="D36">
        <v>2025</v>
      </c>
      <c r="E36" s="34">
        <f>'option 3.1 higher MSW recycling'!E36</f>
        <v>60</v>
      </c>
      <c r="F36" t="s">
        <v>2</v>
      </c>
      <c r="G36" t="s">
        <v>236</v>
      </c>
      <c r="R36"/>
      <c r="S36" s="25"/>
      <c r="T36" s="27" t="s">
        <v>117</v>
      </c>
      <c r="U36" s="28">
        <f t="shared" si="29"/>
        <v>0.26338664922059341</v>
      </c>
      <c r="V36" s="27" t="s">
        <v>84</v>
      </c>
      <c r="W36" s="28">
        <f t="shared" ref="W36:W37" si="35">W20</f>
        <v>50.085294377419189</v>
      </c>
      <c r="X36" s="25" t="s">
        <v>2</v>
      </c>
      <c r="Y36" s="28">
        <f>U36-W36*U36/100</f>
        <v>0.13146867060763875</v>
      </c>
      <c r="Z36" s="29" t="s">
        <v>97</v>
      </c>
      <c r="AA36" s="25"/>
      <c r="AB36" s="45"/>
      <c r="AC36" s="25"/>
      <c r="AD36" s="27" t="s">
        <v>117</v>
      </c>
      <c r="AE36" s="28">
        <f t="shared" si="30"/>
        <v>0.26923650095066454</v>
      </c>
      <c r="AF36" s="27" t="s">
        <v>84</v>
      </c>
      <c r="AG36" s="28">
        <f t="shared" ref="AG36:AG37" si="36">AG20</f>
        <v>59.818899334414013</v>
      </c>
      <c r="AH36" s="25" t="s">
        <v>2</v>
      </c>
      <c r="AI36" s="28">
        <f>AE36-AG36*AE36/100</f>
        <v>0.10818218947548791</v>
      </c>
      <c r="AJ36" s="29" t="s">
        <v>97</v>
      </c>
      <c r="AK36" s="25"/>
      <c r="AM36" s="25"/>
      <c r="AN36" s="27" t="s">
        <v>117</v>
      </c>
      <c r="AO36" s="28">
        <f t="shared" si="31"/>
        <v>0.27313640210404522</v>
      </c>
      <c r="AP36" s="27" t="s">
        <v>84</v>
      </c>
      <c r="AQ36" s="28">
        <f t="shared" ref="AQ36:AQ37" si="37">AQ20</f>
        <v>68.781504770975317</v>
      </c>
      <c r="AR36" s="25" t="s">
        <v>2</v>
      </c>
      <c r="AS36" s="28">
        <f>AO36-AQ36*AO36/100</f>
        <v>8.5269074659581029E-2</v>
      </c>
      <c r="AT36" s="29" t="s">
        <v>97</v>
      </c>
      <c r="AU36" s="25"/>
    </row>
    <row r="37" spans="2:47" x14ac:dyDescent="0.2">
      <c r="C37" s="9"/>
      <c r="D37">
        <v>2030</v>
      </c>
      <c r="E37" s="34">
        <f>'option 3.1 higher MSW recycling'!E37</f>
        <v>70</v>
      </c>
      <c r="F37" t="s">
        <v>2</v>
      </c>
      <c r="G37" t="s">
        <v>236</v>
      </c>
      <c r="R37"/>
      <c r="S37" s="25"/>
      <c r="T37" s="27" t="s">
        <v>118</v>
      </c>
      <c r="U37" s="28">
        <f t="shared" si="29"/>
        <v>4.7984821941387978E-2</v>
      </c>
      <c r="V37" s="27" t="s">
        <v>84</v>
      </c>
      <c r="W37" s="28">
        <f t="shared" si="35"/>
        <v>31.377427838836063</v>
      </c>
      <c r="X37" s="25" t="s">
        <v>2</v>
      </c>
      <c r="Y37" s="28">
        <f t="shared" ref="Y37" si="38">U37-W37*U37/100</f>
        <v>3.2928419063134991E-2</v>
      </c>
      <c r="Z37" s="29" t="s">
        <v>97</v>
      </c>
      <c r="AA37" s="25"/>
      <c r="AB37" s="45"/>
      <c r="AC37" s="25"/>
      <c r="AD37" s="27" t="s">
        <v>118</v>
      </c>
      <c r="AE37" s="28">
        <f t="shared" si="30"/>
        <v>4.9050571076667326E-2</v>
      </c>
      <c r="AF37" s="27" t="s">
        <v>84</v>
      </c>
      <c r="AG37" s="28">
        <f t="shared" si="36"/>
        <v>37.475335237530274</v>
      </c>
      <c r="AH37" s="25" t="s">
        <v>2</v>
      </c>
      <c r="AI37" s="28">
        <f t="shared" ref="AI37:AI40" si="39">AE37-AG37*AE37/100</f>
        <v>3.0668705129763184E-2</v>
      </c>
      <c r="AJ37" s="29" t="s">
        <v>97</v>
      </c>
      <c r="AK37" s="25"/>
      <c r="AM37" s="25"/>
      <c r="AN37" s="27" t="s">
        <v>118</v>
      </c>
      <c r="AO37" s="28">
        <f t="shared" si="31"/>
        <v>4.9761070500187021E-2</v>
      </c>
      <c r="AP37" s="27" t="s">
        <v>84</v>
      </c>
      <c r="AQ37" s="28">
        <f t="shared" si="37"/>
        <v>43.090226970311072</v>
      </c>
      <c r="AR37" s="25" t="s">
        <v>2</v>
      </c>
      <c r="AS37" s="28">
        <f t="shared" ref="AS37:AS40" si="40">AO37-AQ37*AO37/100</f>
        <v>2.8318912278799926E-2</v>
      </c>
      <c r="AT37" s="29" t="s">
        <v>97</v>
      </c>
      <c r="AU37" s="25"/>
    </row>
    <row r="38" spans="2:47" x14ac:dyDescent="0.2">
      <c r="E38" s="34"/>
      <c r="R38"/>
      <c r="S38" s="25"/>
      <c r="T38" s="27" t="s">
        <v>45</v>
      </c>
      <c r="U38" s="28">
        <f t="shared" si="29"/>
        <v>13.145486096237276</v>
      </c>
      <c r="V38" s="27" t="s">
        <v>84</v>
      </c>
      <c r="W38" s="28">
        <f>W22</f>
        <v>32.953929403991523</v>
      </c>
      <c r="X38" s="25" t="s">
        <v>2</v>
      </c>
      <c r="Y38" s="28">
        <f t="shared" si="32"/>
        <v>8.8135318882717222</v>
      </c>
      <c r="Z38" s="29" t="s">
        <v>97</v>
      </c>
      <c r="AA38" s="25"/>
      <c r="AB38" s="45"/>
      <c r="AC38" s="25"/>
      <c r="AD38" s="27" t="s">
        <v>45</v>
      </c>
      <c r="AE38" s="28">
        <f t="shared" si="30"/>
        <v>13.43744905187781</v>
      </c>
      <c r="AF38" s="27" t="s">
        <v>84</v>
      </c>
      <c r="AG38" s="28">
        <f>AG22</f>
        <v>49.408842715871522</v>
      </c>
      <c r="AH38" s="25" t="s">
        <v>2</v>
      </c>
      <c r="AI38" s="28">
        <f t="shared" si="39"/>
        <v>6.7981609848101341</v>
      </c>
      <c r="AJ38" s="29" t="s">
        <v>97</v>
      </c>
      <c r="AK38" s="25"/>
      <c r="AM38" s="25"/>
      <c r="AN38" s="27" t="s">
        <v>45</v>
      </c>
      <c r="AO38" s="28">
        <f t="shared" si="31"/>
        <v>13.632091022304836</v>
      </c>
      <c r="AP38" s="27" t="s">
        <v>84</v>
      </c>
      <c r="AQ38" s="28">
        <f>AQ22</f>
        <v>72.606789841247078</v>
      </c>
      <c r="AR38" s="25" t="s">
        <v>2</v>
      </c>
      <c r="AS38" s="28">
        <f t="shared" si="40"/>
        <v>3.7342673427724531</v>
      </c>
      <c r="AT38" s="29" t="s">
        <v>97</v>
      </c>
      <c r="AU38" s="25"/>
    </row>
    <row r="39" spans="2:47" x14ac:dyDescent="0.2">
      <c r="E39" s="34"/>
      <c r="R39"/>
      <c r="S39" s="25"/>
      <c r="T39" s="27" t="s">
        <v>108</v>
      </c>
      <c r="U39" s="28">
        <f t="shared" si="29"/>
        <v>5.2626632262310402E-2</v>
      </c>
      <c r="V39" s="27" t="s">
        <v>84</v>
      </c>
      <c r="W39" s="28">
        <f>W23</f>
        <v>0</v>
      </c>
      <c r="X39" s="25" t="s">
        <v>2</v>
      </c>
      <c r="Y39" s="28">
        <f t="shared" si="32"/>
        <v>5.2626632262310402E-2</v>
      </c>
      <c r="Z39" s="29" t="s">
        <v>97</v>
      </c>
      <c r="AA39" s="25"/>
      <c r="AB39" s="45"/>
      <c r="AC39" s="25"/>
      <c r="AD39" s="27" t="s">
        <v>108</v>
      </c>
      <c r="AE39" s="28">
        <f t="shared" si="30"/>
        <v>5.3795476608440085E-2</v>
      </c>
      <c r="AF39" s="27" t="s">
        <v>84</v>
      </c>
      <c r="AG39" s="28">
        <f>AG23</f>
        <v>0</v>
      </c>
      <c r="AH39" s="25" t="s">
        <v>2</v>
      </c>
      <c r="AI39" s="28">
        <f t="shared" si="39"/>
        <v>5.3795476608440085E-2</v>
      </c>
      <c r="AJ39" s="29" t="s">
        <v>97</v>
      </c>
      <c r="AK39" s="25"/>
      <c r="AM39" s="25"/>
      <c r="AN39" s="27" t="s">
        <v>108</v>
      </c>
      <c r="AO39" s="28">
        <f t="shared" si="31"/>
        <v>5.4574706172526355E-2</v>
      </c>
      <c r="AP39" s="27" t="s">
        <v>84</v>
      </c>
      <c r="AQ39" s="28">
        <f>AQ23</f>
        <v>0</v>
      </c>
      <c r="AR39" s="25" t="s">
        <v>2</v>
      </c>
      <c r="AS39" s="28">
        <f t="shared" si="40"/>
        <v>5.4574706172526355E-2</v>
      </c>
      <c r="AT39" s="29" t="s">
        <v>97</v>
      </c>
      <c r="AU39" s="25"/>
    </row>
    <row r="40" spans="2:47" x14ac:dyDescent="0.2">
      <c r="E40" s="34"/>
      <c r="R40"/>
      <c r="S40" s="25"/>
      <c r="T40" s="27" t="s">
        <v>96</v>
      </c>
      <c r="U40" s="28">
        <f t="shared" si="29"/>
        <v>9.2677329971476468</v>
      </c>
      <c r="V40" s="27" t="s">
        <v>84</v>
      </c>
      <c r="W40" s="28">
        <v>0</v>
      </c>
      <c r="X40" s="25" t="s">
        <v>2</v>
      </c>
      <c r="Y40" s="28">
        <f t="shared" si="32"/>
        <v>9.2677329971476468</v>
      </c>
      <c r="Z40" s="29" t="s">
        <v>97</v>
      </c>
      <c r="AA40" s="25"/>
      <c r="AB40" s="45"/>
      <c r="AC40" s="25"/>
      <c r="AD40" s="27" t="s">
        <v>96</v>
      </c>
      <c r="AE40" s="28">
        <f t="shared" si="30"/>
        <v>9.4735705521931823</v>
      </c>
      <c r="AF40" s="27" t="s">
        <v>84</v>
      </c>
      <c r="AG40" s="28">
        <v>0</v>
      </c>
      <c r="AH40" s="25" t="s">
        <v>2</v>
      </c>
      <c r="AI40" s="28">
        <f t="shared" si="39"/>
        <v>9.4735705521931823</v>
      </c>
      <c r="AJ40" s="29" t="s">
        <v>97</v>
      </c>
      <c r="AK40" s="25"/>
      <c r="AM40" s="25"/>
      <c r="AN40" s="27" t="s">
        <v>96</v>
      </c>
      <c r="AO40" s="28">
        <f t="shared" si="31"/>
        <v>9.6107955888902055</v>
      </c>
      <c r="AP40" s="27" t="s">
        <v>84</v>
      </c>
      <c r="AQ40" s="28">
        <v>0</v>
      </c>
      <c r="AR40" s="25" t="s">
        <v>2</v>
      </c>
      <c r="AS40" s="28">
        <f t="shared" si="40"/>
        <v>9.6107955888902055</v>
      </c>
      <c r="AT40" s="29" t="s">
        <v>97</v>
      </c>
      <c r="AU40" s="25"/>
    </row>
    <row r="41" spans="2:47" x14ac:dyDescent="0.2">
      <c r="E41" s="10"/>
      <c r="R41"/>
      <c r="S41" s="25"/>
      <c r="T41" s="25"/>
      <c r="U41" s="26"/>
      <c r="V41" s="25"/>
      <c r="W41" s="25"/>
      <c r="X41" s="25"/>
      <c r="Y41" s="26"/>
      <c r="Z41" s="26"/>
      <c r="AA41" s="25"/>
      <c r="AB41" s="45"/>
      <c r="AC41" s="25"/>
      <c r="AD41" s="25"/>
      <c r="AE41" s="26"/>
      <c r="AF41" s="25"/>
      <c r="AG41" s="25"/>
      <c r="AH41" s="25"/>
      <c r="AI41" s="26"/>
      <c r="AJ41" s="26"/>
      <c r="AK41" s="25"/>
      <c r="AM41" s="25"/>
      <c r="AN41" s="25"/>
      <c r="AO41" s="26"/>
      <c r="AP41" s="25"/>
      <c r="AQ41" s="25"/>
      <c r="AR41" s="25"/>
      <c r="AS41" s="26"/>
      <c r="AT41" s="26"/>
      <c r="AU41" s="25"/>
    </row>
    <row r="42" spans="2:47" x14ac:dyDescent="0.2">
      <c r="B42" s="84" t="s">
        <v>61</v>
      </c>
      <c r="C42" s="53"/>
      <c r="E42" s="10"/>
      <c r="R42"/>
      <c r="S42" s="25"/>
      <c r="T42" s="27" t="s">
        <v>47</v>
      </c>
      <c r="U42" s="28">
        <f>$U$16*H150/100</f>
        <v>1.3359309652142199</v>
      </c>
      <c r="V42" s="27" t="s">
        <v>84</v>
      </c>
      <c r="W42" s="28">
        <f>W26</f>
        <v>16.271461568041236</v>
      </c>
      <c r="X42" s="25" t="s">
        <v>2</v>
      </c>
      <c r="Y42" s="25"/>
      <c r="Z42" s="28">
        <f>U42-W42*U42/100</f>
        <v>1.1185554716338257</v>
      </c>
      <c r="AA42" s="25"/>
      <c r="AB42" s="45"/>
      <c r="AC42" s="25"/>
      <c r="AD42" s="27" t="s">
        <v>47</v>
      </c>
      <c r="AE42" s="28">
        <f>$AE$16*H150/100</f>
        <v>1.4673012657278093</v>
      </c>
      <c r="AF42" s="27" t="s">
        <v>84</v>
      </c>
      <c r="AG42" s="28">
        <f>AG26</f>
        <v>39.106517504029995</v>
      </c>
      <c r="AH42" s="25" t="s">
        <v>2</v>
      </c>
      <c r="AI42" s="25"/>
      <c r="AJ42" s="28">
        <f>AE42-AG42*AE42/100</f>
        <v>0.89349083940910989</v>
      </c>
      <c r="AK42" s="25"/>
      <c r="AM42" s="25"/>
      <c r="AN42" s="27" t="s">
        <v>47</v>
      </c>
      <c r="AO42" s="28">
        <f>$AO$16*H150/100</f>
        <v>1.6115900151032105</v>
      </c>
      <c r="AP42" s="27" t="s">
        <v>84</v>
      </c>
      <c r="AQ42" s="28">
        <f>AQ26</f>
        <v>39.106517504029995</v>
      </c>
      <c r="AR42" s="25" t="s">
        <v>2</v>
      </c>
      <c r="AS42" s="25"/>
      <c r="AT42" s="28">
        <f>AO42-AQ42*AO42/100</f>
        <v>0.98135328375367381</v>
      </c>
      <c r="AU42" s="25"/>
    </row>
    <row r="43" spans="2:47" x14ac:dyDescent="0.2">
      <c r="D43">
        <v>2012</v>
      </c>
      <c r="E43">
        <v>2020</v>
      </c>
      <c r="F43">
        <v>2025</v>
      </c>
      <c r="G43">
        <v>2030</v>
      </c>
      <c r="R43"/>
      <c r="S43" s="25"/>
      <c r="T43" s="27" t="s">
        <v>49</v>
      </c>
      <c r="U43" s="28">
        <f>$U$16*H151/100</f>
        <v>0</v>
      </c>
      <c r="V43" s="27" t="s">
        <v>84</v>
      </c>
      <c r="W43" s="28">
        <f t="shared" ref="W43:W48" si="41">W27</f>
        <v>0</v>
      </c>
      <c r="X43" s="25" t="s">
        <v>2</v>
      </c>
      <c r="Y43" s="25"/>
      <c r="Z43" s="28">
        <f>U43-W43*U43/100</f>
        <v>0</v>
      </c>
      <c r="AA43" s="25"/>
      <c r="AB43" s="45"/>
      <c r="AC43" s="25"/>
      <c r="AD43" s="27" t="s">
        <v>49</v>
      </c>
      <c r="AE43" s="28">
        <f t="shared" ref="AE43" si="42">$AE$16*H151/100</f>
        <v>0</v>
      </c>
      <c r="AF43" s="27" t="s">
        <v>84</v>
      </c>
      <c r="AG43" s="28">
        <f t="shared" ref="AG43:AG48" si="43">AG27</f>
        <v>30.645645813085515</v>
      </c>
      <c r="AH43" s="25" t="s">
        <v>2</v>
      </c>
      <c r="AI43" s="25"/>
      <c r="AJ43" s="28">
        <f>AE43-AG43*AE43/100</f>
        <v>0</v>
      </c>
      <c r="AK43" s="25"/>
      <c r="AM43" s="25"/>
      <c r="AN43" s="27" t="s">
        <v>49</v>
      </c>
      <c r="AO43" s="28">
        <f t="shared" ref="AO43" si="44">$AO$16*H151/100</f>
        <v>0</v>
      </c>
      <c r="AP43" s="27" t="s">
        <v>84</v>
      </c>
      <c r="AQ43" s="28">
        <f t="shared" ref="AQ43:AQ48" si="45">AQ27</f>
        <v>30.645645813085515</v>
      </c>
      <c r="AR43" s="25" t="s">
        <v>2</v>
      </c>
      <c r="AS43" s="25"/>
      <c r="AT43" s="28">
        <f>AO43-AQ43*AO43/100</f>
        <v>0</v>
      </c>
      <c r="AU43" s="25"/>
    </row>
    <row r="44" spans="2:47" x14ac:dyDescent="0.2">
      <c r="C44" t="s">
        <v>62</v>
      </c>
      <c r="D44" s="10">
        <f>'option 3.3 limiting landfill'!D44</f>
        <v>7.1411729039646969</v>
      </c>
      <c r="E44" s="34">
        <f>'option 3.2 modernised pack targ'!E44</f>
        <v>31.312577896048779</v>
      </c>
      <c r="F44" s="34">
        <f>'option 3.2 modernised pack targ'!F44</f>
        <v>40.889500972971859</v>
      </c>
      <c r="G44" s="34">
        <f>'option 3.2 modernised pack targ'!G44</f>
        <v>40.889500972971859</v>
      </c>
      <c r="H44" s="1" t="s">
        <v>237</v>
      </c>
      <c r="R44"/>
      <c r="S44" s="25"/>
      <c r="T44" s="27" t="s">
        <v>121</v>
      </c>
      <c r="U44" s="28">
        <f>$U$16*H153/100</f>
        <v>1.0099195535790792E-2</v>
      </c>
      <c r="V44" s="27" t="s">
        <v>84</v>
      </c>
      <c r="W44" s="28">
        <f t="shared" si="41"/>
        <v>65.489356660145219</v>
      </c>
      <c r="X44" s="25" t="s">
        <v>2</v>
      </c>
      <c r="Y44" s="25"/>
      <c r="Z44" s="28">
        <f t="shared" ref="Z44:Z48" si="46">U44-W44*U44/100</f>
        <v>3.4852973515512959E-3</v>
      </c>
      <c r="AA44" s="25"/>
      <c r="AB44" s="45"/>
      <c r="AC44" s="25"/>
      <c r="AD44" s="27" t="s">
        <v>121</v>
      </c>
      <c r="AE44" s="28">
        <f>$AE$16*H153/100</f>
        <v>1.1092311487908567E-2</v>
      </c>
      <c r="AF44" s="27" t="s">
        <v>84</v>
      </c>
      <c r="AG44" s="28">
        <f t="shared" si="43"/>
        <v>76.992904440096808</v>
      </c>
      <c r="AH44" s="25" t="s">
        <v>2</v>
      </c>
      <c r="AI44" s="25"/>
      <c r="AJ44" s="28">
        <f t="shared" ref="AJ44:AJ48" si="47">AE44-AG44*AE44/100</f>
        <v>2.5520187038252425E-3</v>
      </c>
      <c r="AK44" s="25"/>
      <c r="AM44" s="25"/>
      <c r="AN44" s="27" t="s">
        <v>121</v>
      </c>
      <c r="AO44" s="28">
        <f>$AO$16*H153/100</f>
        <v>1.2183086633855738E-2</v>
      </c>
      <c r="AP44" s="27" t="s">
        <v>84</v>
      </c>
      <c r="AQ44" s="28">
        <f t="shared" si="45"/>
        <v>76.992904440096808</v>
      </c>
      <c r="AR44" s="25" t="s">
        <v>2</v>
      </c>
      <c r="AS44" s="25"/>
      <c r="AT44" s="28">
        <f t="shared" ref="AT44:AT48" si="48">AO44-AQ44*AO44/100</f>
        <v>2.8029743839969833E-3</v>
      </c>
      <c r="AU44" s="25"/>
    </row>
    <row r="45" spans="2:47" x14ac:dyDescent="0.2">
      <c r="C45" t="s">
        <v>63</v>
      </c>
      <c r="D45" s="10">
        <f>'option 3.3 limiting landfill'!D45</f>
        <v>52.817731667059654</v>
      </c>
      <c r="E45" s="34">
        <f>'option 3.1 higher MSW recycling'!E45</f>
        <v>78.378920217715887</v>
      </c>
      <c r="F45" s="34">
        <f>'option 3.1 higher MSW recycling'!F45</f>
        <v>91.142410015649418</v>
      </c>
      <c r="G45" s="34">
        <f>'option 3.1 higher MSW recycling'!G45</f>
        <v>91.142410015649418</v>
      </c>
      <c r="H45" s="1" t="s">
        <v>236</v>
      </c>
      <c r="R45"/>
      <c r="S45" s="25"/>
      <c r="T45" s="27" t="s">
        <v>122</v>
      </c>
      <c r="U45" s="28">
        <f>$U$16*H154/100</f>
        <v>1.8399114039007679E-3</v>
      </c>
      <c r="V45" s="27" t="s">
        <v>84</v>
      </c>
      <c r="W45" s="28">
        <f t="shared" si="41"/>
        <v>0</v>
      </c>
      <c r="X45" s="25" t="s">
        <v>2</v>
      </c>
      <c r="Y45" s="25"/>
      <c r="Z45" s="28">
        <f t="shared" si="46"/>
        <v>1.8399114039007679E-3</v>
      </c>
      <c r="AA45" s="25"/>
      <c r="AB45" s="45"/>
      <c r="AC45" s="25"/>
      <c r="AD45" s="27" t="s">
        <v>122</v>
      </c>
      <c r="AE45" s="28">
        <f t="shared" ref="AE45:AE48" si="49">$AE$16*H154/100</f>
        <v>2.0208411976869803E-3</v>
      </c>
      <c r="AF45" s="27" t="s">
        <v>84</v>
      </c>
      <c r="AG45" s="28">
        <f t="shared" si="43"/>
        <v>20.281904133418234</v>
      </c>
      <c r="AH45" s="25" t="s">
        <v>2</v>
      </c>
      <c r="AI45" s="25"/>
      <c r="AJ45" s="28">
        <f t="shared" si="47"/>
        <v>1.6109761232834861E-3</v>
      </c>
      <c r="AK45" s="25"/>
      <c r="AM45" s="25"/>
      <c r="AN45" s="27" t="s">
        <v>122</v>
      </c>
      <c r="AO45" s="28">
        <f t="shared" ref="AO45:AO48" si="50">$AO$16*H154/100</f>
        <v>2.2195629298296365E-3</v>
      </c>
      <c r="AP45" s="27" t="s">
        <v>84</v>
      </c>
      <c r="AQ45" s="28">
        <f t="shared" si="45"/>
        <v>20.281904133418234</v>
      </c>
      <c r="AR45" s="25" t="s">
        <v>2</v>
      </c>
      <c r="AS45" s="25"/>
      <c r="AT45" s="28">
        <f t="shared" si="48"/>
        <v>1.7693933042207005E-3</v>
      </c>
      <c r="AU45" s="25"/>
    </row>
    <row r="46" spans="2:47" x14ac:dyDescent="0.2">
      <c r="C46" s="37" t="s">
        <v>64</v>
      </c>
      <c r="D46" s="38">
        <f>'option 3.3 limiting landfill'!D46</f>
        <v>24.522518273991984</v>
      </c>
      <c r="E46" s="56">
        <f>'option 3.2 modernised pack targ'!E46</f>
        <v>59.956960588848816</v>
      </c>
      <c r="F46" s="56">
        <f>'option 3.2 modernised pack targ'!F46</f>
        <v>66.843310517536409</v>
      </c>
      <c r="G46" s="56">
        <f>'option 3.2 modernised pack targ'!G46</f>
        <v>73.184192193093395</v>
      </c>
      <c r="H46" s="39" t="s">
        <v>237</v>
      </c>
      <c r="I46" s="37"/>
      <c r="R46"/>
      <c r="S46" s="25"/>
      <c r="T46" s="27" t="s">
        <v>51</v>
      </c>
      <c r="U46" s="28">
        <f>$U$16*H155/100</f>
        <v>0.15051873476122818</v>
      </c>
      <c r="V46" s="27" t="s">
        <v>84</v>
      </c>
      <c r="W46" s="28">
        <f t="shared" si="41"/>
        <v>11.989711536792784</v>
      </c>
      <c r="X46" s="25" t="s">
        <v>2</v>
      </c>
      <c r="Y46" s="25"/>
      <c r="Z46" s="28">
        <f t="shared" si="46"/>
        <v>0.13247197265452668</v>
      </c>
      <c r="AA46" s="25"/>
      <c r="AB46" s="45"/>
      <c r="AC46" s="25"/>
      <c r="AD46" s="27" t="s">
        <v>51</v>
      </c>
      <c r="AE46" s="28">
        <f t="shared" si="49"/>
        <v>0.16532016682125761</v>
      </c>
      <c r="AF46" s="27" t="s">
        <v>84</v>
      </c>
      <c r="AG46" s="28">
        <f t="shared" si="43"/>
        <v>41.326474357861855</v>
      </c>
      <c r="AH46" s="25" t="s">
        <v>2</v>
      </c>
      <c r="AI46" s="25"/>
      <c r="AJ46" s="28">
        <f t="shared" si="47"/>
        <v>9.6999170471496143E-2</v>
      </c>
      <c r="AK46" s="25"/>
      <c r="AM46" s="25"/>
      <c r="AN46" s="27" t="s">
        <v>51</v>
      </c>
      <c r="AO46" s="28">
        <f t="shared" si="50"/>
        <v>0.1815771146439939</v>
      </c>
      <c r="AP46" s="27" t="s">
        <v>84</v>
      </c>
      <c r="AQ46" s="28">
        <f t="shared" si="45"/>
        <v>41.326474357861855</v>
      </c>
      <c r="AR46" s="25" t="s">
        <v>2</v>
      </c>
      <c r="AS46" s="25"/>
      <c r="AT46" s="28">
        <f t="shared" si="48"/>
        <v>0.10653769492089835</v>
      </c>
      <c r="AU46" s="25"/>
    </row>
    <row r="47" spans="2:47" x14ac:dyDescent="0.2">
      <c r="C47" t="s">
        <v>113</v>
      </c>
      <c r="D47" s="191">
        <f>'option 3.3 limiting landfill'!D47</f>
        <v>25.739828255680099</v>
      </c>
      <c r="E47" s="191">
        <f>'option 3.2 modernised pack targ'!E47</f>
        <v>62.933253878999786</v>
      </c>
      <c r="F47" s="191">
        <f>'option 3.2 modernised pack targ'!F47</f>
        <v>70.161445636977774</v>
      </c>
      <c r="G47" s="191">
        <f>'option 3.2 modernised pack targ'!G47</f>
        <v>76.817091826933961</v>
      </c>
      <c r="H47" s="1" t="s">
        <v>237</v>
      </c>
      <c r="R47"/>
      <c r="S47" s="25"/>
      <c r="T47" s="27" t="s">
        <v>109</v>
      </c>
      <c r="U47" s="28">
        <f>$U$16*H156/100</f>
        <v>0.23914279374255001</v>
      </c>
      <c r="V47" s="27" t="s">
        <v>84</v>
      </c>
      <c r="W47" s="28">
        <f t="shared" si="41"/>
        <v>19.759364714446594</v>
      </c>
      <c r="X47" s="25" t="s">
        <v>2</v>
      </c>
      <c r="Y47" s="25"/>
      <c r="Z47" s="28">
        <f t="shared" si="46"/>
        <v>0.19188969693864277</v>
      </c>
      <c r="AA47" s="25"/>
      <c r="AB47" s="45"/>
      <c r="AC47" s="25"/>
      <c r="AD47" s="27" t="s">
        <v>109</v>
      </c>
      <c r="AE47" s="28">
        <f t="shared" si="49"/>
        <v>0.2626591740778022</v>
      </c>
      <c r="AF47" s="27" t="s">
        <v>84</v>
      </c>
      <c r="AG47" s="28">
        <f t="shared" si="43"/>
        <v>43.831555300112619</v>
      </c>
      <c r="AH47" s="25" t="s">
        <v>2</v>
      </c>
      <c r="AI47" s="25"/>
      <c r="AJ47" s="28">
        <f t="shared" si="47"/>
        <v>0.14753157294107128</v>
      </c>
      <c r="AK47" s="25"/>
      <c r="AM47" s="25"/>
      <c r="AN47" s="27" t="s">
        <v>109</v>
      </c>
      <c r="AO47" s="28">
        <f t="shared" si="50"/>
        <v>0.28848806458916104</v>
      </c>
      <c r="AP47" s="27" t="s">
        <v>84</v>
      </c>
      <c r="AQ47" s="28">
        <f t="shared" si="45"/>
        <v>43.831555300112619</v>
      </c>
      <c r="AR47" s="25" t="s">
        <v>2</v>
      </c>
      <c r="AS47" s="25"/>
      <c r="AT47" s="28">
        <f t="shared" si="48"/>
        <v>0.16203925902453831</v>
      </c>
      <c r="AU47" s="25"/>
    </row>
    <row r="48" spans="2:47" x14ac:dyDescent="0.2">
      <c r="C48" t="s">
        <v>114</v>
      </c>
      <c r="D48" s="191">
        <f>'option 3.3 limiting landfill'!D48</f>
        <v>17.840755496352696</v>
      </c>
      <c r="E48" s="191">
        <f>'option 3.2 modernised pack targ'!E48</f>
        <v>43.620213153417517</v>
      </c>
      <c r="F48" s="191">
        <f>'option 3.2 modernised pack targ'!F48</f>
        <v>48.63020780271669</v>
      </c>
      <c r="G48" s="191">
        <f>'option 3.2 modernised pack targ'!G48</f>
        <v>53.243360430067142</v>
      </c>
      <c r="H48" s="1" t="s">
        <v>237</v>
      </c>
      <c r="R48"/>
      <c r="S48" s="25"/>
      <c r="T48" s="27" t="s">
        <v>83</v>
      </c>
      <c r="U48" s="28">
        <f>$U$16*H157/100</f>
        <v>1.4131052125495168E-2</v>
      </c>
      <c r="V48" s="27" t="s">
        <v>84</v>
      </c>
      <c r="W48" s="28">
        <f t="shared" si="41"/>
        <v>0</v>
      </c>
      <c r="X48" s="25" t="s">
        <v>2</v>
      </c>
      <c r="Y48" s="25"/>
      <c r="Z48" s="28">
        <f t="shared" si="46"/>
        <v>1.4131052125495168E-2</v>
      </c>
      <c r="AA48" s="25"/>
      <c r="AB48" s="45"/>
      <c r="AC48" s="25"/>
      <c r="AD48" s="27" t="s">
        <v>83</v>
      </c>
      <c r="AE48" s="28">
        <f t="shared" si="49"/>
        <v>1.5520645310051541E-2</v>
      </c>
      <c r="AF48" s="27" t="s">
        <v>84</v>
      </c>
      <c r="AG48" s="28">
        <f t="shared" si="43"/>
        <v>0</v>
      </c>
      <c r="AH48" s="25" t="s">
        <v>2</v>
      </c>
      <c r="AI48" s="25"/>
      <c r="AJ48" s="28">
        <f t="shared" si="47"/>
        <v>1.5520645310051541E-2</v>
      </c>
      <c r="AK48" s="25"/>
      <c r="AM48" s="25"/>
      <c r="AN48" s="27" t="s">
        <v>83</v>
      </c>
      <c r="AO48" s="28">
        <f t="shared" si="50"/>
        <v>1.7046885730879986E-2</v>
      </c>
      <c r="AP48" s="27" t="s">
        <v>84</v>
      </c>
      <c r="AQ48" s="28">
        <f t="shared" si="45"/>
        <v>0</v>
      </c>
      <c r="AR48" s="25" t="s">
        <v>2</v>
      </c>
      <c r="AS48" s="25"/>
      <c r="AT48" s="28">
        <f t="shared" si="48"/>
        <v>1.7046885730879986E-2</v>
      </c>
      <c r="AU48" s="25"/>
    </row>
    <row r="49" spans="2:47" x14ac:dyDescent="0.2">
      <c r="C49" t="s">
        <v>65</v>
      </c>
      <c r="D49" s="10">
        <f>'option 3.3 limiting landfill'!D49</f>
        <v>40.509313841075219</v>
      </c>
      <c r="E49" s="34">
        <f>'option 3.1 higher MSW recycling'!E47</f>
        <v>60.113832559837448</v>
      </c>
      <c r="F49" s="34">
        <f>'option 3.1 higher MSW recycling'!F47</f>
        <v>69.902973395931113</v>
      </c>
      <c r="G49" s="34">
        <f>'option 3.1 higher MSW recycling'!G47</f>
        <v>83.703591315601599</v>
      </c>
      <c r="H49" s="1" t="s">
        <v>236</v>
      </c>
      <c r="R49"/>
      <c r="S49" s="25"/>
      <c r="T49" s="25"/>
      <c r="U49" s="26"/>
      <c r="V49" s="25"/>
      <c r="W49" s="25"/>
      <c r="X49" s="25"/>
      <c r="Y49" s="26"/>
      <c r="Z49" s="26"/>
      <c r="AA49" s="25"/>
      <c r="AB49" s="45"/>
      <c r="AC49" s="25"/>
      <c r="AD49" s="25"/>
      <c r="AE49" s="26"/>
      <c r="AF49" s="25"/>
      <c r="AG49" s="25"/>
      <c r="AH49" s="25"/>
      <c r="AI49" s="26"/>
      <c r="AJ49" s="26"/>
      <c r="AK49" s="25"/>
      <c r="AM49" s="25"/>
      <c r="AN49" s="25"/>
      <c r="AO49" s="26"/>
      <c r="AP49" s="25"/>
      <c r="AQ49" s="25"/>
      <c r="AR49" s="25"/>
      <c r="AS49" s="26"/>
      <c r="AT49" s="26"/>
      <c r="AU49" s="25"/>
    </row>
    <row r="50" spans="2:47" x14ac:dyDescent="0.2">
      <c r="E50" s="10"/>
      <c r="R50"/>
      <c r="S50" s="25"/>
      <c r="T50" s="27" t="s">
        <v>91</v>
      </c>
      <c r="U50" s="28">
        <f>U12-U16</f>
        <v>22.009433535783703</v>
      </c>
      <c r="V50" s="27" t="s">
        <v>84</v>
      </c>
      <c r="W50" s="28">
        <v>0</v>
      </c>
      <c r="X50" s="25" t="s">
        <v>2</v>
      </c>
      <c r="Y50" s="26"/>
      <c r="Z50" s="28">
        <f t="shared" ref="Z50" si="51">U50-W50*U50/100</f>
        <v>22.009433535783703</v>
      </c>
      <c r="AA50" s="25"/>
      <c r="AB50" s="45"/>
      <c r="AC50" s="25"/>
      <c r="AD50" s="27" t="s">
        <v>91</v>
      </c>
      <c r="AE50" s="28">
        <f>AE12-AE16</f>
        <v>24.173756373578051</v>
      </c>
      <c r="AF50" s="27" t="s">
        <v>84</v>
      </c>
      <c r="AG50" s="28">
        <v>0</v>
      </c>
      <c r="AH50" s="25" t="s">
        <v>2</v>
      </c>
      <c r="AI50" s="26"/>
      <c r="AJ50" s="28">
        <f t="shared" ref="AJ50" si="52">AE50-AG50*AE50/100</f>
        <v>24.173756373578051</v>
      </c>
      <c r="AK50" s="25"/>
      <c r="AM50" s="25"/>
      <c r="AN50" s="27" t="s">
        <v>91</v>
      </c>
      <c r="AO50" s="28">
        <f>AO12-AO16</f>
        <v>26.550910374817935</v>
      </c>
      <c r="AP50" s="27" t="s">
        <v>84</v>
      </c>
      <c r="AQ50" s="28">
        <v>0</v>
      </c>
      <c r="AR50" s="25" t="s">
        <v>2</v>
      </c>
      <c r="AS50" s="26"/>
      <c r="AT50" s="28">
        <f t="shared" ref="AT50" si="53">AO50-AQ50*AO50/100</f>
        <v>26.550910374817935</v>
      </c>
      <c r="AU50" s="25"/>
    </row>
    <row r="51" spans="2:47" x14ac:dyDescent="0.2">
      <c r="B51" t="s">
        <v>23</v>
      </c>
      <c r="E51" s="10"/>
      <c r="R51"/>
      <c r="S51" s="25"/>
      <c r="T51" s="27"/>
      <c r="U51" s="26"/>
      <c r="V51" s="27"/>
      <c r="W51" s="28"/>
      <c r="X51" s="25"/>
      <c r="Y51" s="26"/>
      <c r="Z51" s="44"/>
      <c r="AA51" s="25"/>
      <c r="AB51" s="45"/>
      <c r="AC51" s="25"/>
      <c r="AD51" s="27"/>
      <c r="AE51" s="26"/>
      <c r="AF51" s="27"/>
      <c r="AG51" s="28"/>
      <c r="AH51" s="25"/>
      <c r="AI51" s="26"/>
      <c r="AJ51" s="44"/>
      <c r="AK51" s="25"/>
      <c r="AM51" s="25"/>
      <c r="AN51" s="27"/>
      <c r="AO51" s="26"/>
      <c r="AP51" s="27"/>
      <c r="AQ51" s="28"/>
      <c r="AR51" s="25"/>
      <c r="AS51" s="26"/>
      <c r="AT51" s="44"/>
      <c r="AU51" s="25"/>
    </row>
    <row r="52" spans="2:47" x14ac:dyDescent="0.2">
      <c r="C52" t="str">
        <f>C44</f>
        <v>plastic</v>
      </c>
      <c r="D52" s="10">
        <f t="shared" ref="D52:D56" si="54">100-D44</f>
        <v>92.858827096035299</v>
      </c>
      <c r="E52" s="10">
        <f t="shared" ref="E52:G52" si="55">100-E44</f>
        <v>68.687422103951221</v>
      </c>
      <c r="F52" s="10">
        <f t="shared" si="55"/>
        <v>59.110499027028141</v>
      </c>
      <c r="G52" s="10">
        <f t="shared" si="55"/>
        <v>59.110499027028141</v>
      </c>
      <c r="R52"/>
      <c r="S52" s="25"/>
      <c r="T52" s="25"/>
      <c r="U52" s="26" t="s">
        <v>143</v>
      </c>
      <c r="V52" s="27" t="s">
        <v>234</v>
      </c>
      <c r="W52" s="25"/>
      <c r="X52" s="42"/>
      <c r="Y52" s="26"/>
      <c r="Z52" s="26" t="s">
        <v>144</v>
      </c>
      <c r="AA52" s="25"/>
      <c r="AB52" s="45"/>
      <c r="AC52" s="25"/>
      <c r="AD52" s="25"/>
      <c r="AE52" s="26" t="s">
        <v>143</v>
      </c>
      <c r="AF52" s="27" t="s">
        <v>234</v>
      </c>
      <c r="AG52" s="25"/>
      <c r="AH52" s="42"/>
      <c r="AI52" s="26"/>
      <c r="AJ52" s="26" t="s">
        <v>144</v>
      </c>
      <c r="AK52" s="25"/>
      <c r="AM52" s="25"/>
      <c r="AN52" s="25"/>
      <c r="AO52" s="26" t="s">
        <v>143</v>
      </c>
      <c r="AP52" s="27" t="s">
        <v>234</v>
      </c>
      <c r="AQ52" s="25"/>
      <c r="AR52" s="42"/>
      <c r="AS52" s="26"/>
      <c r="AT52" s="26" t="s">
        <v>144</v>
      </c>
      <c r="AU52" s="25"/>
    </row>
    <row r="53" spans="2:47" x14ac:dyDescent="0.2">
      <c r="C53" t="str">
        <f>C45</f>
        <v>glass</v>
      </c>
      <c r="D53" s="10">
        <f t="shared" si="54"/>
        <v>47.182268332940346</v>
      </c>
      <c r="E53" s="10">
        <f t="shared" ref="E53:G53" si="56">100-E45</f>
        <v>21.621079782284113</v>
      </c>
      <c r="F53" s="10">
        <f t="shared" si="56"/>
        <v>8.8575899843505823</v>
      </c>
      <c r="G53" s="10">
        <f t="shared" si="56"/>
        <v>8.8575899843505823</v>
      </c>
      <c r="R53"/>
      <c r="S53" s="25"/>
      <c r="T53" s="27" t="s">
        <v>42</v>
      </c>
      <c r="U53" s="28">
        <f t="shared" ref="U53:U59" si="57">Y34</f>
        <v>6.3141497963133393</v>
      </c>
      <c r="V53" s="225">
        <f>D232</f>
        <v>0</v>
      </c>
      <c r="W53" s="26"/>
      <c r="X53" s="26"/>
      <c r="Y53" s="26"/>
      <c r="Z53" s="28">
        <f>U53*V53</f>
        <v>0</v>
      </c>
      <c r="AA53" s="25"/>
      <c r="AB53" s="45"/>
      <c r="AC53" s="25"/>
      <c r="AD53" s="27" t="s">
        <v>42</v>
      </c>
      <c r="AE53" s="28">
        <f t="shared" ref="AE53:AE59" si="58">AI34</f>
        <v>5.5544680099147854</v>
      </c>
      <c r="AF53" s="225">
        <f>E232</f>
        <v>-1.1707738385384444E-2</v>
      </c>
      <c r="AG53" s="25"/>
      <c r="AH53" s="26"/>
      <c r="AI53" s="26"/>
      <c r="AJ53" s="28">
        <f>AE53*AF53</f>
        <v>-6.5030258330069271E-2</v>
      </c>
      <c r="AK53" s="25"/>
      <c r="AM53" s="25"/>
      <c r="AN53" s="27" t="s">
        <v>42</v>
      </c>
      <c r="AO53" s="28">
        <f t="shared" ref="AO53:AO59" si="59">AS34</f>
        <v>5.6349246943606035</v>
      </c>
      <c r="AP53" s="225">
        <f>F232</f>
        <v>-1.897840370057971E-2</v>
      </c>
      <c r="AQ53" s="28"/>
      <c r="AR53" s="26"/>
      <c r="AS53" s="26"/>
      <c r="AT53" s="28">
        <f>AO53*AP53</f>
        <v>-0.10694187567194127</v>
      </c>
      <c r="AU53" s="25"/>
    </row>
    <row r="54" spans="2:47" x14ac:dyDescent="0.2">
      <c r="C54" s="192" t="str">
        <f>C46</f>
        <v>metals</v>
      </c>
      <c r="D54" s="202">
        <f t="shared" si="54"/>
        <v>75.477481726008023</v>
      </c>
      <c r="E54" s="202">
        <f t="shared" ref="E54:G54" si="60">100-E46</f>
        <v>40.043039411151184</v>
      </c>
      <c r="F54" s="202">
        <f t="shared" si="60"/>
        <v>33.156689482463591</v>
      </c>
      <c r="G54" s="202">
        <f t="shared" si="60"/>
        <v>26.815807806906605</v>
      </c>
      <c r="R54"/>
      <c r="S54" s="25"/>
      <c r="T54" s="27" t="s">
        <v>43</v>
      </c>
      <c r="U54" s="28">
        <f t="shared" si="57"/>
        <v>0.1395907246168103</v>
      </c>
      <c r="V54" s="225">
        <f t="shared" ref="V54:V55" si="61">D233</f>
        <v>0</v>
      </c>
      <c r="W54" s="26"/>
      <c r="X54" s="26"/>
      <c r="Y54" s="26"/>
      <c r="Z54" s="28">
        <f t="shared" ref="Z54:Z66" si="62">U54*V54</f>
        <v>0</v>
      </c>
      <c r="AA54" s="25"/>
      <c r="AB54" s="45"/>
      <c r="AC54" s="25"/>
      <c r="AD54" s="27" t="s">
        <v>43</v>
      </c>
      <c r="AE54" s="28">
        <f t="shared" si="58"/>
        <v>5.8456786272318706E-2</v>
      </c>
      <c r="AF54" s="225">
        <f>E233</f>
        <v>-1.1707738385384444E-2</v>
      </c>
      <c r="AG54" s="25"/>
      <c r="AH54" s="26"/>
      <c r="AI54" s="26"/>
      <c r="AJ54" s="28">
        <f t="shared" ref="AJ54:AJ66" si="63">AE54*AF54</f>
        <v>-6.8439676052664013E-4</v>
      </c>
      <c r="AK54" s="25"/>
      <c r="AM54" s="25"/>
      <c r="AN54" s="27" t="s">
        <v>43</v>
      </c>
      <c r="AO54" s="28">
        <f t="shared" si="59"/>
        <v>5.9303535087584791E-2</v>
      </c>
      <c r="AP54" s="225">
        <f>F233</f>
        <v>-1.897840370057971E-2</v>
      </c>
      <c r="AQ54" s="28"/>
      <c r="AR54" s="26"/>
      <c r="AS54" s="26"/>
      <c r="AT54" s="28">
        <f t="shared" ref="AT54:AT66" si="64">AO54*AP54</f>
        <v>-1.125486429763678E-3</v>
      </c>
      <c r="AU54" s="25"/>
    </row>
    <row r="55" spans="2:47" x14ac:dyDescent="0.2">
      <c r="C55" t="s">
        <v>113</v>
      </c>
      <c r="D55" s="10">
        <f t="shared" si="54"/>
        <v>74.260171744319905</v>
      </c>
      <c r="E55" s="10">
        <f t="shared" ref="E55:F55" si="65">100-E47</f>
        <v>37.066746121000214</v>
      </c>
      <c r="F55" s="10">
        <f t="shared" si="65"/>
        <v>29.838554363022226</v>
      </c>
      <c r="G55" s="10">
        <f>100-G47</f>
        <v>23.182908173066039</v>
      </c>
      <c r="R55"/>
      <c r="S55" s="25"/>
      <c r="T55" s="27" t="s">
        <v>117</v>
      </c>
      <c r="U55" s="28">
        <f t="shared" si="57"/>
        <v>0.13146867060763875</v>
      </c>
      <c r="V55" s="225">
        <f t="shared" si="61"/>
        <v>0</v>
      </c>
      <c r="W55" s="26"/>
      <c r="X55" s="26"/>
      <c r="Y55" s="26"/>
      <c r="Z55" s="28">
        <f t="shared" si="62"/>
        <v>0</v>
      </c>
      <c r="AA55" s="25"/>
      <c r="AB55" s="45"/>
      <c r="AC55" s="25"/>
      <c r="AD55" s="27" t="s">
        <v>117</v>
      </c>
      <c r="AE55" s="28">
        <f t="shared" si="58"/>
        <v>0.10818218947548791</v>
      </c>
      <c r="AF55" s="225">
        <f>E234</f>
        <v>-1.1707738385384444E-2</v>
      </c>
      <c r="AG55" s="25"/>
      <c r="AH55" s="26"/>
      <c r="AI55" s="26"/>
      <c r="AJ55" s="28">
        <f t="shared" si="63"/>
        <v>-1.2665687723371027E-3</v>
      </c>
      <c r="AK55" s="25"/>
      <c r="AM55" s="25"/>
      <c r="AN55" s="27" t="s">
        <v>117</v>
      </c>
      <c r="AO55" s="28">
        <f t="shared" si="59"/>
        <v>8.5269074659581029E-2</v>
      </c>
      <c r="AP55" s="225">
        <f>F234</f>
        <v>-1.897840370057971E-2</v>
      </c>
      <c r="AQ55" s="28"/>
      <c r="AR55" s="26"/>
      <c r="AS55" s="26"/>
      <c r="AT55" s="28">
        <f t="shared" si="64"/>
        <v>-1.6182709220644001E-3</v>
      </c>
      <c r="AU55" s="25"/>
    </row>
    <row r="56" spans="2:47" x14ac:dyDescent="0.2">
      <c r="C56" t="s">
        <v>114</v>
      </c>
      <c r="D56" s="10">
        <f t="shared" si="54"/>
        <v>82.159244503647301</v>
      </c>
      <c r="E56" s="10">
        <f t="shared" ref="E56:G56" si="66">100-E48</f>
        <v>56.379786846582483</v>
      </c>
      <c r="F56" s="10">
        <f t="shared" si="66"/>
        <v>51.36979219728331</v>
      </c>
      <c r="G56" s="10">
        <f t="shared" si="66"/>
        <v>46.756639569932858</v>
      </c>
      <c r="R56"/>
      <c r="S56" s="25"/>
      <c r="T56" s="27" t="s">
        <v>118</v>
      </c>
      <c r="U56" s="28">
        <f t="shared" si="57"/>
        <v>3.2928419063134991E-2</v>
      </c>
      <c r="V56" s="225">
        <f>D234</f>
        <v>0</v>
      </c>
      <c r="W56" s="26"/>
      <c r="X56" s="26"/>
      <c r="Y56" s="26"/>
      <c r="Z56" s="28">
        <f t="shared" si="62"/>
        <v>0</v>
      </c>
      <c r="AA56" s="25"/>
      <c r="AB56" s="45"/>
      <c r="AC56" s="25"/>
      <c r="AD56" s="27" t="s">
        <v>118</v>
      </c>
      <c r="AE56" s="28">
        <f t="shared" si="58"/>
        <v>3.0668705129763184E-2</v>
      </c>
      <c r="AF56" s="225">
        <f>E234</f>
        <v>-1.1707738385384444E-2</v>
      </c>
      <c r="AG56" s="25"/>
      <c r="AH56" s="26"/>
      <c r="AI56" s="26"/>
      <c r="AJ56" s="28">
        <f t="shared" si="63"/>
        <v>-3.5906117627776521E-4</v>
      </c>
      <c r="AK56" s="25"/>
      <c r="AM56" s="25"/>
      <c r="AN56" s="27" t="s">
        <v>118</v>
      </c>
      <c r="AO56" s="28">
        <f t="shared" si="59"/>
        <v>2.8318912278799926E-2</v>
      </c>
      <c r="AP56" s="225">
        <f>F234</f>
        <v>-1.897840370057971E-2</v>
      </c>
      <c r="AQ56" s="28"/>
      <c r="AR56" s="26"/>
      <c r="AS56" s="26"/>
      <c r="AT56" s="28">
        <f t="shared" si="64"/>
        <v>-5.3744774958836873E-4</v>
      </c>
      <c r="AU56" s="25"/>
    </row>
    <row r="57" spans="2:47" x14ac:dyDescent="0.2">
      <c r="C57" t="str">
        <f>C49</f>
        <v>paper</v>
      </c>
      <c r="D57" s="10">
        <f>100-D49</f>
        <v>59.490686158924781</v>
      </c>
      <c r="E57" s="10">
        <f t="shared" ref="E57:G57" si="67">100-E49</f>
        <v>39.886167440162552</v>
      </c>
      <c r="F57" s="10">
        <f t="shared" si="67"/>
        <v>30.097026604068887</v>
      </c>
      <c r="G57" s="10">
        <f t="shared" si="67"/>
        <v>16.296408684398401</v>
      </c>
      <c r="R57"/>
      <c r="S57" s="25"/>
      <c r="T57" s="27" t="s">
        <v>45</v>
      </c>
      <c r="U57" s="28">
        <f t="shared" si="57"/>
        <v>8.8135318882717222</v>
      </c>
      <c r="V57" s="225">
        <f>D235</f>
        <v>0</v>
      </c>
      <c r="W57" s="26"/>
      <c r="X57" s="26"/>
      <c r="Y57" s="26"/>
      <c r="Z57" s="28">
        <f t="shared" si="62"/>
        <v>0</v>
      </c>
      <c r="AA57" s="25"/>
      <c r="AB57" s="45"/>
      <c r="AC57" s="25"/>
      <c r="AD57" s="27" t="s">
        <v>45</v>
      </c>
      <c r="AE57" s="28">
        <f t="shared" si="58"/>
        <v>6.7981609848101341</v>
      </c>
      <c r="AF57" s="225">
        <f>E235</f>
        <v>-1.1707738385384444E-2</v>
      </c>
      <c r="AG57" s="25"/>
      <c r="AH57" s="26"/>
      <c r="AI57" s="26"/>
      <c r="AJ57" s="28">
        <f t="shared" si="63"/>
        <v>-7.9591090311884521E-2</v>
      </c>
      <c r="AK57" s="25"/>
      <c r="AM57" s="25"/>
      <c r="AN57" s="27" t="s">
        <v>45</v>
      </c>
      <c r="AO57" s="28">
        <f t="shared" si="59"/>
        <v>3.7342673427724531</v>
      </c>
      <c r="AP57" s="225">
        <f>F235</f>
        <v>-1.897840370057971E-2</v>
      </c>
      <c r="AQ57" s="28"/>
      <c r="AR57" s="26"/>
      <c r="AS57" s="26"/>
      <c r="AT57" s="28">
        <f t="shared" si="64"/>
        <v>-7.087043315702668E-2</v>
      </c>
      <c r="AU57" s="25"/>
    </row>
    <row r="58" spans="2:47" x14ac:dyDescent="0.2">
      <c r="E58" s="10"/>
      <c r="F58" s="10"/>
      <c r="G58" s="134"/>
      <c r="R58"/>
      <c r="S58" s="25"/>
      <c r="T58" s="27" t="s">
        <v>108</v>
      </c>
      <c r="U58" s="28">
        <f t="shared" si="57"/>
        <v>5.2626632262310402E-2</v>
      </c>
      <c r="V58" s="225">
        <f>D236</f>
        <v>0</v>
      </c>
      <c r="W58" s="26"/>
      <c r="X58" s="25"/>
      <c r="Y58" s="26"/>
      <c r="Z58" s="28">
        <f t="shared" si="62"/>
        <v>0</v>
      </c>
      <c r="AA58" s="25"/>
      <c r="AB58" s="45"/>
      <c r="AC58" s="25"/>
      <c r="AD58" s="27" t="s">
        <v>108</v>
      </c>
      <c r="AE58" s="28">
        <f t="shared" si="58"/>
        <v>5.3795476608440085E-2</v>
      </c>
      <c r="AF58" s="225">
        <v>0</v>
      </c>
      <c r="AG58" s="25"/>
      <c r="AH58" s="25"/>
      <c r="AI58" s="26"/>
      <c r="AJ58" s="28">
        <f t="shared" si="63"/>
        <v>0</v>
      </c>
      <c r="AK58" s="25"/>
      <c r="AM58" s="25"/>
      <c r="AN58" s="27" t="s">
        <v>108</v>
      </c>
      <c r="AO58" s="28">
        <f t="shared" si="59"/>
        <v>5.4574706172526355E-2</v>
      </c>
      <c r="AP58" s="225">
        <f>F236</f>
        <v>-1.897840370057971E-2</v>
      </c>
      <c r="AQ58" s="28"/>
      <c r="AR58" s="25"/>
      <c r="AS58" s="26"/>
      <c r="AT58" s="28">
        <f t="shared" si="64"/>
        <v>-1.0357408055827245E-3</v>
      </c>
      <c r="AU58" s="25"/>
    </row>
    <row r="59" spans="2:47" x14ac:dyDescent="0.2">
      <c r="E59" s="10"/>
      <c r="F59" s="10"/>
      <c r="G59" s="134"/>
      <c r="R59"/>
      <c r="S59" s="25"/>
      <c r="T59" s="27" t="s">
        <v>96</v>
      </c>
      <c r="U59" s="28">
        <f t="shared" si="57"/>
        <v>9.2677329971476468</v>
      </c>
      <c r="V59" s="225">
        <v>0</v>
      </c>
      <c r="W59" s="26"/>
      <c r="X59" s="25"/>
      <c r="Y59" s="25"/>
      <c r="Z59" s="28">
        <f t="shared" si="62"/>
        <v>0</v>
      </c>
      <c r="AA59" s="25"/>
      <c r="AB59" s="45"/>
      <c r="AC59" s="25"/>
      <c r="AD59" s="27" t="s">
        <v>96</v>
      </c>
      <c r="AE59" s="28">
        <f t="shared" si="58"/>
        <v>9.4735705521931823</v>
      </c>
      <c r="AF59" s="225">
        <v>0</v>
      </c>
      <c r="AG59" s="25"/>
      <c r="AH59" s="25"/>
      <c r="AI59" s="25"/>
      <c r="AJ59" s="28">
        <f t="shared" si="63"/>
        <v>0</v>
      </c>
      <c r="AK59" s="25"/>
      <c r="AM59" s="25"/>
      <c r="AN59" s="27" t="s">
        <v>96</v>
      </c>
      <c r="AO59" s="28">
        <f t="shared" si="59"/>
        <v>9.6107955888902055</v>
      </c>
      <c r="AP59" s="225">
        <v>0</v>
      </c>
      <c r="AQ59" s="25"/>
      <c r="AR59" s="25"/>
      <c r="AS59" s="25"/>
      <c r="AT59" s="28">
        <f t="shared" si="64"/>
        <v>0</v>
      </c>
      <c r="AU59" s="25"/>
    </row>
    <row r="60" spans="2:47" x14ac:dyDescent="0.2">
      <c r="B60" t="s">
        <v>210</v>
      </c>
      <c r="D60" s="315">
        <v>2020</v>
      </c>
      <c r="E60" s="315"/>
      <c r="F60" s="315"/>
      <c r="G60" s="315">
        <v>2025</v>
      </c>
      <c r="H60" s="315"/>
      <c r="I60" s="315"/>
      <c r="J60" s="315">
        <v>2030</v>
      </c>
      <c r="K60" s="315"/>
      <c r="L60" s="315"/>
      <c r="R60"/>
      <c r="S60" s="25"/>
      <c r="T60" s="27" t="s">
        <v>38</v>
      </c>
      <c r="U60" s="28">
        <f t="shared" ref="U60:U66" si="68">Y26</f>
        <v>34.089385187710057</v>
      </c>
      <c r="V60" s="225">
        <f t="shared" ref="V60:V65" si="69">D237</f>
        <v>0</v>
      </c>
      <c r="W60" s="26"/>
      <c r="X60" s="25"/>
      <c r="Y60" s="25"/>
      <c r="Z60" s="28">
        <f t="shared" si="62"/>
        <v>0</v>
      </c>
      <c r="AA60" s="25"/>
      <c r="AB60" s="45"/>
      <c r="AC60" s="25"/>
      <c r="AD60" s="27" t="s">
        <v>38</v>
      </c>
      <c r="AE60" s="28">
        <f t="shared" ref="AE60:AE66" si="70">AI26</f>
        <v>25.34291990234426</v>
      </c>
      <c r="AF60" s="225">
        <f t="shared" ref="AF60:AF64" si="71">E237</f>
        <v>-1.1707738385384444E-2</v>
      </c>
      <c r="AG60" s="25"/>
      <c r="AH60" s="25"/>
      <c r="AI60" s="25"/>
      <c r="AJ60" s="28">
        <f t="shared" si="63"/>
        <v>-0.29670827613839929</v>
      </c>
      <c r="AK60" s="25"/>
      <c r="AM60" s="25"/>
      <c r="AN60" s="27" t="s">
        <v>38</v>
      </c>
      <c r="AO60" s="28">
        <f t="shared" ref="AO60:AO66" si="72">AS26</f>
        <v>25.710013079562831</v>
      </c>
      <c r="AP60" s="225">
        <f t="shared" ref="AP60:AP65" si="73">F237</f>
        <v>-1.897840370057971E-2</v>
      </c>
      <c r="AQ60" s="25"/>
      <c r="AR60" s="25"/>
      <c r="AS60" s="25"/>
      <c r="AT60" s="28">
        <f t="shared" si="64"/>
        <v>-0.48793500737112799</v>
      </c>
      <c r="AU60" s="25"/>
    </row>
    <row r="61" spans="2:47" x14ac:dyDescent="0.2">
      <c r="B61" s="10"/>
      <c r="C61" s="134" t="str">
        <f>C52</f>
        <v>plastic</v>
      </c>
      <c r="D61" s="10">
        <f>D52-E52</f>
        <v>24.171404992084078</v>
      </c>
      <c r="E61" s="146">
        <f>D61/D52*100</f>
        <v>26.030271701672291</v>
      </c>
      <c r="F61" t="s">
        <v>2</v>
      </c>
      <c r="G61" s="10">
        <f>D52-F52</f>
        <v>33.748328069007158</v>
      </c>
      <c r="H61" s="146">
        <f>G61/D52*100</f>
        <v>36.343694104712718</v>
      </c>
      <c r="I61" t="s">
        <v>2</v>
      </c>
      <c r="J61" s="10">
        <f>D52-G52</f>
        <v>33.748328069007158</v>
      </c>
      <c r="K61" s="146">
        <f>J61/D52*100</f>
        <v>36.343694104712718</v>
      </c>
      <c r="L61" t="s">
        <v>2</v>
      </c>
      <c r="R61"/>
      <c r="S61" s="25"/>
      <c r="T61" s="27" t="s">
        <v>39</v>
      </c>
      <c r="U61" s="28">
        <f t="shared" si="68"/>
        <v>2.0770514927350527</v>
      </c>
      <c r="V61" s="225">
        <f t="shared" si="69"/>
        <v>0</v>
      </c>
      <c r="W61" s="26"/>
      <c r="X61" s="25"/>
      <c r="Y61" s="25"/>
      <c r="Z61" s="28">
        <f t="shared" si="62"/>
        <v>0</v>
      </c>
      <c r="AA61" s="25"/>
      <c r="AB61" s="45"/>
      <c r="AC61" s="25"/>
      <c r="AD61" s="27" t="s">
        <v>39</v>
      </c>
      <c r="AE61" s="28">
        <f t="shared" si="70"/>
        <v>1.4725199109048923</v>
      </c>
      <c r="AF61" s="225">
        <f t="shared" si="71"/>
        <v>-1.1707738385384444E-2</v>
      </c>
      <c r="AG61" s="25"/>
      <c r="AH61" s="25"/>
      <c r="AI61" s="25"/>
      <c r="AJ61" s="28">
        <f t="shared" si="63"/>
        <v>-1.7239877884144088E-2</v>
      </c>
      <c r="AK61" s="25"/>
      <c r="AM61" s="25"/>
      <c r="AN61" s="27" t="s">
        <v>39</v>
      </c>
      <c r="AO61" s="28">
        <f t="shared" si="72"/>
        <v>1.4938494188974456</v>
      </c>
      <c r="AP61" s="225">
        <f t="shared" si="73"/>
        <v>-1.897840370057971E-2</v>
      </c>
      <c r="AQ61" s="25"/>
      <c r="AR61" s="25"/>
      <c r="AS61" s="25"/>
      <c r="AT61" s="28">
        <f t="shared" si="64"/>
        <v>-2.835087733971213E-2</v>
      </c>
      <c r="AU61" s="25"/>
    </row>
    <row r="62" spans="2:47" x14ac:dyDescent="0.2">
      <c r="B62" s="10"/>
      <c r="C62" s="134" t="str">
        <f t="shared" ref="C62:C66" si="74">C53</f>
        <v>glass</v>
      </c>
      <c r="D62" s="10">
        <f t="shared" ref="D62:D66" si="75">D53-E53</f>
        <v>25.561188550656233</v>
      </c>
      <c r="E62" s="200">
        <f t="shared" ref="E62:E66" si="76">D62/D53*100</f>
        <v>54.175412615358866</v>
      </c>
      <c r="F62" t="s">
        <v>2</v>
      </c>
      <c r="G62" s="10">
        <f t="shared" ref="G62:G66" si="77">D53-F53</f>
        <v>38.324678348589764</v>
      </c>
      <c r="H62" s="200">
        <f t="shared" ref="H62:H66" si="78">G62/D53*100</f>
        <v>81.226867004682248</v>
      </c>
      <c r="I62" t="s">
        <v>2</v>
      </c>
      <c r="J62" s="10">
        <f t="shared" ref="J62:J66" si="79">D53-G53</f>
        <v>38.324678348589764</v>
      </c>
      <c r="K62" s="200">
        <f t="shared" ref="K62:K66" si="80">J62/D53*100</f>
        <v>81.226867004682248</v>
      </c>
      <c r="L62" t="s">
        <v>2</v>
      </c>
      <c r="R62"/>
      <c r="S62" s="25"/>
      <c r="T62" s="27" t="s">
        <v>115</v>
      </c>
      <c r="U62" s="28">
        <f t="shared" si="68"/>
        <v>0.59071380546537755</v>
      </c>
      <c r="V62" s="225">
        <f t="shared" si="69"/>
        <v>0</v>
      </c>
      <c r="W62" s="26"/>
      <c r="X62" s="25"/>
      <c r="Y62" s="25"/>
      <c r="Z62" s="28">
        <f t="shared" si="62"/>
        <v>0</v>
      </c>
      <c r="AA62" s="25"/>
      <c r="AC62" s="25"/>
      <c r="AD62" s="27" t="s">
        <v>115</v>
      </c>
      <c r="AE62" s="28">
        <f t="shared" si="70"/>
        <v>0.40255575726758042</v>
      </c>
      <c r="AF62" s="225">
        <f t="shared" si="71"/>
        <v>-1.1707738385384444E-2</v>
      </c>
      <c r="AG62" s="25"/>
      <c r="AH62" s="25"/>
      <c r="AI62" s="25"/>
      <c r="AJ62" s="28">
        <f t="shared" si="63"/>
        <v>-4.7130174916191541E-3</v>
      </c>
      <c r="AK62" s="25"/>
      <c r="AM62" s="25"/>
      <c r="AN62" s="27" t="s">
        <v>115</v>
      </c>
      <c r="AO62" s="28">
        <f t="shared" si="72"/>
        <v>0.40838679301691094</v>
      </c>
      <c r="AP62" s="225">
        <f t="shared" si="73"/>
        <v>-1.897840370057971E-2</v>
      </c>
      <c r="AQ62" s="25"/>
      <c r="AR62" s="25"/>
      <c r="AS62" s="25"/>
      <c r="AT62" s="28">
        <f t="shared" si="64"/>
        <v>-7.7505294238600225E-3</v>
      </c>
      <c r="AU62" s="25"/>
    </row>
    <row r="63" spans="2:47" x14ac:dyDescent="0.2">
      <c r="B63" s="38"/>
      <c r="C63" s="227" t="str">
        <f t="shared" si="74"/>
        <v>metals</v>
      </c>
      <c r="D63" s="38">
        <f t="shared" si="75"/>
        <v>35.434442314856838</v>
      </c>
      <c r="E63" s="201">
        <f t="shared" si="76"/>
        <v>46.947038380914663</v>
      </c>
      <c r="F63" s="37" t="s">
        <v>2</v>
      </c>
      <c r="G63" s="38">
        <f t="shared" si="77"/>
        <v>42.320792243544432</v>
      </c>
      <c r="H63" s="201">
        <f t="shared" si="78"/>
        <v>56.070752860003722</v>
      </c>
      <c r="I63" s="37" t="s">
        <v>2</v>
      </c>
      <c r="J63" s="38">
        <f t="shared" si="79"/>
        <v>48.661673919101418</v>
      </c>
      <c r="K63" s="201">
        <f t="shared" si="80"/>
        <v>64.471777285507372</v>
      </c>
      <c r="L63" s="37" t="s">
        <v>2</v>
      </c>
      <c r="R63"/>
      <c r="S63" s="25"/>
      <c r="T63" s="27" t="s">
        <v>116</v>
      </c>
      <c r="U63" s="28">
        <f t="shared" si="68"/>
        <v>0.31184170459189348</v>
      </c>
      <c r="V63" s="225">
        <f t="shared" si="69"/>
        <v>0</v>
      </c>
      <c r="W63" s="26"/>
      <c r="X63" s="25"/>
      <c r="Y63" s="25"/>
      <c r="Z63" s="28">
        <f t="shared" si="62"/>
        <v>0</v>
      </c>
      <c r="AA63" s="25"/>
      <c r="AC63" s="25"/>
      <c r="AD63" s="27" t="s">
        <v>116</v>
      </c>
      <c r="AE63" s="28">
        <f t="shared" si="70"/>
        <v>0.25411558006072643</v>
      </c>
      <c r="AF63" s="225">
        <f t="shared" si="71"/>
        <v>-1.1707738385384444E-2</v>
      </c>
      <c r="AG63" s="25"/>
      <c r="AH63" s="25"/>
      <c r="AI63" s="25"/>
      <c r="AJ63" s="28">
        <f t="shared" si="63"/>
        <v>-2.9751187310012007E-3</v>
      </c>
      <c r="AK63" s="25"/>
      <c r="AM63" s="25"/>
      <c r="AN63" s="27" t="s">
        <v>116</v>
      </c>
      <c r="AO63" s="28">
        <f t="shared" si="72"/>
        <v>0.25779645408884516</v>
      </c>
      <c r="AP63" s="225">
        <f t="shared" si="73"/>
        <v>-1.897840370057971E-2</v>
      </c>
      <c r="AQ63" s="25"/>
      <c r="AR63" s="25"/>
      <c r="AS63" s="25"/>
      <c r="AT63" s="28">
        <f t="shared" si="64"/>
        <v>-4.8925651782760664E-3</v>
      </c>
      <c r="AU63" s="25"/>
    </row>
    <row r="64" spans="2:47" x14ac:dyDescent="0.2">
      <c r="B64" s="10"/>
      <c r="C64" s="134" t="str">
        <f t="shared" si="74"/>
        <v>steel</v>
      </c>
      <c r="D64" s="10">
        <f t="shared" si="75"/>
        <v>37.19342562331969</v>
      </c>
      <c r="E64" s="200">
        <f t="shared" si="76"/>
        <v>50.085294377419189</v>
      </c>
      <c r="F64" t="s">
        <v>2</v>
      </c>
      <c r="G64" s="10">
        <f t="shared" si="77"/>
        <v>44.421617381297679</v>
      </c>
      <c r="H64" s="200">
        <f t="shared" si="78"/>
        <v>59.818899334414013</v>
      </c>
      <c r="I64" t="s">
        <v>2</v>
      </c>
      <c r="J64" s="10">
        <f t="shared" si="79"/>
        <v>51.077263571253866</v>
      </c>
      <c r="K64" s="200">
        <f t="shared" si="80"/>
        <v>68.781504770975317</v>
      </c>
      <c r="L64" t="s">
        <v>2</v>
      </c>
      <c r="R64"/>
      <c r="S64" s="25"/>
      <c r="T64" s="27" t="s">
        <v>41</v>
      </c>
      <c r="U64" s="28">
        <f t="shared" si="68"/>
        <v>3.2248596554159472</v>
      </c>
      <c r="V64" s="225">
        <f t="shared" si="69"/>
        <v>0</v>
      </c>
      <c r="W64" s="26"/>
      <c r="X64" s="25"/>
      <c r="Y64" s="25"/>
      <c r="Z64" s="28">
        <f t="shared" si="62"/>
        <v>0</v>
      </c>
      <c r="AA64" s="25"/>
      <c r="AC64" s="25"/>
      <c r="AD64" s="27" t="s">
        <v>41</v>
      </c>
      <c r="AE64" s="28">
        <f t="shared" si="70"/>
        <v>2.1976561384829925</v>
      </c>
      <c r="AF64" s="225">
        <f t="shared" si="71"/>
        <v>-1.1707738385384444E-2</v>
      </c>
      <c r="AG64" s="25"/>
      <c r="AH64" s="25"/>
      <c r="AI64" s="25"/>
      <c r="AJ64" s="28">
        <f t="shared" si="63"/>
        <v>-2.5729583130393082E-2</v>
      </c>
      <c r="AK64" s="25"/>
      <c r="AM64" s="25"/>
      <c r="AN64" s="27" t="s">
        <v>41</v>
      </c>
      <c r="AO64" s="28">
        <f t="shared" si="72"/>
        <v>2.2294892728423443</v>
      </c>
      <c r="AP64" s="225">
        <f t="shared" si="73"/>
        <v>-1.897840370057971E-2</v>
      </c>
      <c r="AQ64" s="25"/>
      <c r="AR64" s="25"/>
      <c r="AS64" s="25"/>
      <c r="AT64" s="28">
        <f t="shared" si="64"/>
        <v>-4.2312147466113913E-2</v>
      </c>
      <c r="AU64" s="25"/>
    </row>
    <row r="65" spans="2:47" x14ac:dyDescent="0.2">
      <c r="B65" s="10"/>
      <c r="C65" s="134" t="str">
        <f t="shared" si="74"/>
        <v>aluminium</v>
      </c>
      <c r="D65" s="10">
        <f t="shared" si="75"/>
        <v>25.779457657064818</v>
      </c>
      <c r="E65" s="200">
        <f t="shared" si="76"/>
        <v>31.377427838836063</v>
      </c>
      <c r="F65" t="s">
        <v>2</v>
      </c>
      <c r="G65" s="10">
        <f t="shared" si="77"/>
        <v>30.789452306363991</v>
      </c>
      <c r="H65" s="200">
        <f t="shared" si="78"/>
        <v>37.475335237530274</v>
      </c>
      <c r="I65" t="s">
        <v>2</v>
      </c>
      <c r="J65" s="10">
        <f t="shared" si="79"/>
        <v>35.402604933714443</v>
      </c>
      <c r="K65" s="200">
        <f t="shared" si="80"/>
        <v>43.090226970311072</v>
      </c>
      <c r="L65" t="s">
        <v>2</v>
      </c>
      <c r="R65"/>
      <c r="S65" s="25"/>
      <c r="T65" s="27" t="s">
        <v>105</v>
      </c>
      <c r="U65" s="28">
        <f t="shared" si="68"/>
        <v>0.2879315150170173</v>
      </c>
      <c r="V65" s="225">
        <f t="shared" si="69"/>
        <v>0</v>
      </c>
      <c r="W65" s="26"/>
      <c r="X65" s="25"/>
      <c r="Y65" s="25"/>
      <c r="Z65" s="28">
        <f t="shared" si="62"/>
        <v>0</v>
      </c>
      <c r="AA65" s="25"/>
      <c r="AC65" s="25"/>
      <c r="AD65" s="27" t="s">
        <v>105</v>
      </c>
      <c r="AE65" s="28">
        <f t="shared" si="70"/>
        <v>0.20602855798577435</v>
      </c>
      <c r="AF65" s="225">
        <v>0</v>
      </c>
      <c r="AG65" s="25"/>
      <c r="AH65" s="25"/>
      <c r="AI65" s="25"/>
      <c r="AJ65" s="28">
        <f t="shared" si="63"/>
        <v>0</v>
      </c>
      <c r="AK65" s="25"/>
      <c r="AM65" s="25"/>
      <c r="AN65" s="27" t="s">
        <v>105</v>
      </c>
      <c r="AO65" s="28">
        <f t="shared" si="72"/>
        <v>0.20901288963501591</v>
      </c>
      <c r="AP65" s="225">
        <f t="shared" si="73"/>
        <v>-5.621700120287277E-3</v>
      </c>
      <c r="AQ65" s="25"/>
      <c r="AR65" s="25"/>
      <c r="AS65" s="25"/>
      <c r="AT65" s="28">
        <f t="shared" si="64"/>
        <v>-1.1750077868027604E-3</v>
      </c>
      <c r="AU65" s="25"/>
    </row>
    <row r="66" spans="2:47" x14ac:dyDescent="0.2">
      <c r="B66" s="10"/>
      <c r="C66" s="134" t="str">
        <f t="shared" si="74"/>
        <v>paper</v>
      </c>
      <c r="D66" s="10">
        <f t="shared" si="75"/>
        <v>19.604518718762229</v>
      </c>
      <c r="E66" s="148">
        <f t="shared" si="76"/>
        <v>32.953929403991523</v>
      </c>
      <c r="F66" t="s">
        <v>2</v>
      </c>
      <c r="G66" s="10">
        <f t="shared" si="77"/>
        <v>29.393659554855894</v>
      </c>
      <c r="H66" s="148">
        <f t="shared" si="78"/>
        <v>49.408842715871522</v>
      </c>
      <c r="I66" t="s">
        <v>2</v>
      </c>
      <c r="J66" s="10">
        <f t="shared" si="79"/>
        <v>43.19427747452638</v>
      </c>
      <c r="K66" s="148">
        <f t="shared" si="80"/>
        <v>72.606789841247078</v>
      </c>
      <c r="L66" t="s">
        <v>2</v>
      </c>
      <c r="R66"/>
      <c r="S66" s="25"/>
      <c r="T66" s="27" t="s">
        <v>52</v>
      </c>
      <c r="U66" s="28">
        <f t="shared" si="68"/>
        <v>0.18120725081092665</v>
      </c>
      <c r="V66" s="225">
        <v>0</v>
      </c>
      <c r="W66" s="26"/>
      <c r="X66" s="25"/>
      <c r="Y66" s="25"/>
      <c r="Z66" s="28">
        <f t="shared" si="62"/>
        <v>0</v>
      </c>
      <c r="AA66" s="25"/>
      <c r="AC66" s="25"/>
      <c r="AD66" s="27" t="s">
        <v>52</v>
      </c>
      <c r="AE66" s="28">
        <f t="shared" si="70"/>
        <v>0.18523188741568464</v>
      </c>
      <c r="AF66" s="225">
        <v>0</v>
      </c>
      <c r="AG66" s="25"/>
      <c r="AH66" s="25"/>
      <c r="AI66" s="25"/>
      <c r="AJ66" s="28">
        <f t="shared" si="63"/>
        <v>0</v>
      </c>
      <c r="AK66" s="25"/>
      <c r="AM66" s="25"/>
      <c r="AN66" s="27" t="s">
        <v>52</v>
      </c>
      <c r="AO66" s="28">
        <f t="shared" si="72"/>
        <v>0.1879149784855233</v>
      </c>
      <c r="AP66" s="225">
        <v>0</v>
      </c>
      <c r="AQ66" s="25"/>
      <c r="AR66" s="25"/>
      <c r="AS66" s="25"/>
      <c r="AT66" s="28">
        <f t="shared" si="64"/>
        <v>0</v>
      </c>
      <c r="AU66" s="25"/>
    </row>
    <row r="67" spans="2:47" ht="13.5" thickBot="1" x14ac:dyDescent="0.25">
      <c r="C67" s="134"/>
      <c r="D67" s="10"/>
      <c r="G67" s="1"/>
      <c r="H67" s="134"/>
      <c r="I67" s="79"/>
      <c r="J67" s="79"/>
      <c r="K67" s="79"/>
      <c r="L67" s="79"/>
      <c r="R67"/>
      <c r="S67" s="25"/>
      <c r="T67" s="25"/>
      <c r="U67" s="25"/>
      <c r="V67" s="25"/>
      <c r="W67" s="25"/>
      <c r="X67" s="25"/>
      <c r="Y67" s="25"/>
      <c r="Z67" s="25"/>
      <c r="AA67" s="25"/>
      <c r="AC67" s="25"/>
      <c r="AD67" s="25"/>
      <c r="AE67" s="25"/>
      <c r="AF67" s="25"/>
      <c r="AG67" s="25"/>
      <c r="AH67" s="25"/>
      <c r="AI67" s="25"/>
      <c r="AJ67" s="25"/>
      <c r="AK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2:47" ht="13.5" thickBot="1" x14ac:dyDescent="0.25">
      <c r="E68" s="10"/>
      <c r="R68"/>
      <c r="S68" s="25"/>
      <c r="T68" s="25"/>
      <c r="U68" s="25"/>
      <c r="V68" s="25"/>
      <c r="W68" s="25"/>
      <c r="X68" s="30"/>
      <c r="Y68" s="31" t="s">
        <v>21</v>
      </c>
      <c r="Z68" s="122">
        <f>SUM(Z18:Z66)</f>
        <v>83.093244171437988</v>
      </c>
      <c r="AA68" s="25"/>
      <c r="AC68" s="25"/>
      <c r="AD68" s="25"/>
      <c r="AE68" s="25"/>
      <c r="AF68" s="25"/>
      <c r="AG68" s="25"/>
      <c r="AH68" s="30"/>
      <c r="AI68" s="31" t="s">
        <v>193</v>
      </c>
      <c r="AJ68" s="122">
        <f>SUM(AJ18:AJ66)</f>
        <v>75.704801487487558</v>
      </c>
      <c r="AK68" s="25"/>
      <c r="AM68" s="25"/>
      <c r="AN68" s="25"/>
      <c r="AO68" s="25"/>
      <c r="AP68" s="25"/>
      <c r="AQ68" s="25"/>
      <c r="AR68" s="30"/>
      <c r="AS68" s="31" t="s">
        <v>148</v>
      </c>
      <c r="AT68" s="122">
        <f>SUM(AT18:AT66)</f>
        <v>74.583093557984924</v>
      </c>
      <c r="AU68" s="25"/>
    </row>
    <row r="69" spans="2:47" x14ac:dyDescent="0.2">
      <c r="B69" s="84" t="s">
        <v>30</v>
      </c>
      <c r="C69" s="53"/>
      <c r="R69"/>
      <c r="S69" s="25"/>
      <c r="T69" s="25"/>
      <c r="U69" s="25"/>
      <c r="V69" s="25"/>
      <c r="W69" s="25"/>
      <c r="X69" s="25"/>
      <c r="Y69" s="25"/>
      <c r="Z69" s="25"/>
      <c r="AA69" s="25"/>
      <c r="AC69" s="25"/>
      <c r="AD69" s="25"/>
      <c r="AE69" s="25"/>
      <c r="AF69" s="25"/>
      <c r="AG69" s="25"/>
      <c r="AH69" s="25"/>
      <c r="AI69" s="25"/>
      <c r="AJ69" s="25"/>
      <c r="AK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2:47" ht="13.5" thickBot="1" x14ac:dyDescent="0.25">
      <c r="B70" t="str">
        <f>'option 3.3 limiting landfill'!B60</f>
        <v>as in option 1</v>
      </c>
      <c r="D70" t="s">
        <v>32</v>
      </c>
      <c r="E70" t="s">
        <v>33</v>
      </c>
      <c r="G70" t="str">
        <f>D70</f>
        <v>packaging</v>
      </c>
      <c r="R70"/>
      <c r="S70" s="25"/>
      <c r="T70" s="25"/>
      <c r="U70" s="25"/>
      <c r="V70" s="25"/>
      <c r="W70" s="25"/>
      <c r="X70" s="25"/>
      <c r="Y70" s="25"/>
      <c r="Z70" s="25"/>
      <c r="AA70" s="25"/>
      <c r="AC70" s="25"/>
      <c r="AD70" s="25"/>
      <c r="AE70" s="25"/>
      <c r="AF70" s="25"/>
      <c r="AG70" s="25"/>
      <c r="AH70" s="25"/>
      <c r="AI70" s="25"/>
      <c r="AJ70" s="25"/>
      <c r="AK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2:47" ht="13.5" thickBot="1" x14ac:dyDescent="0.25">
      <c r="B71" t="s">
        <v>31</v>
      </c>
      <c r="C71" t="s">
        <v>7</v>
      </c>
      <c r="D71">
        <f>'option 3.3 limiting landfill'!D62</f>
        <v>2470</v>
      </c>
      <c r="E71">
        <f>'option 3.3 limiting landfill'!E62</f>
        <v>32566</v>
      </c>
      <c r="G71" s="10">
        <f>D71/(D71+E71)*100</f>
        <v>7.0498915401301518</v>
      </c>
      <c r="H71" s="1" t="s">
        <v>2</v>
      </c>
      <c r="I71" s="10">
        <f>G71+G73*(G71/(G71+G72))</f>
        <v>7.2873114912236856</v>
      </c>
      <c r="J71" t="s">
        <v>2</v>
      </c>
      <c r="L71" t="str">
        <f>CONCATENATE(ROUND(I71,1),"% of ",B71," ",C71," litter consists of packaging")</f>
        <v>7,3% of NOR industrial litter consists of packaging</v>
      </c>
      <c r="R71"/>
      <c r="S71" s="25"/>
      <c r="T71" s="25"/>
      <c r="U71" s="25"/>
      <c r="V71" s="25"/>
      <c r="W71" s="25"/>
      <c r="X71" s="30" t="s">
        <v>99</v>
      </c>
      <c r="Y71" s="32"/>
      <c r="Z71" s="35">
        <f>100-Z68</f>
        <v>16.906755828562012</v>
      </c>
      <c r="AA71" s="33" t="s">
        <v>2</v>
      </c>
      <c r="AC71" s="25"/>
      <c r="AD71" s="25"/>
      <c r="AE71" s="25"/>
      <c r="AF71" s="25"/>
      <c r="AG71" s="25"/>
      <c r="AH71" s="30" t="s">
        <v>99</v>
      </c>
      <c r="AI71" s="32"/>
      <c r="AJ71" s="35">
        <f>100-AJ68</f>
        <v>24.295198512512442</v>
      </c>
      <c r="AK71" s="33" t="s">
        <v>2</v>
      </c>
      <c r="AM71" s="25"/>
      <c r="AN71" s="25"/>
      <c r="AO71" s="25"/>
      <c r="AP71" s="25"/>
      <c r="AQ71" s="25"/>
      <c r="AR71" s="30" t="s">
        <v>99</v>
      </c>
      <c r="AS71" s="32"/>
      <c r="AT71" s="35">
        <f>100-AT68</f>
        <v>25.416906442015076</v>
      </c>
      <c r="AU71" s="33" t="s">
        <v>2</v>
      </c>
    </row>
    <row r="72" spans="2:47" x14ac:dyDescent="0.2">
      <c r="B72" t="s">
        <v>31</v>
      </c>
      <c r="C72" t="s">
        <v>34</v>
      </c>
      <c r="D72">
        <f>'option 3.3 limiting landfill'!D63</f>
        <v>18577</v>
      </c>
      <c r="E72">
        <f>'option 3.3 limiting landfill'!E63</f>
        <v>10205</v>
      </c>
      <c r="G72" s="10">
        <f t="shared" ref="G72:G82" si="81">D72/(D72+E72)*100</f>
        <v>64.543812104787719</v>
      </c>
      <c r="H72" s="1" t="s">
        <v>2</v>
      </c>
      <c r="I72" s="10">
        <f>G72+G73*(G72/(G71+G72))</f>
        <v>66.717460965352458</v>
      </c>
      <c r="J72" t="s">
        <v>2</v>
      </c>
      <c r="L72" t="str">
        <f t="shared" ref="L72:L81" si="82">CONCATENATE(ROUND(I72,1),"% of ",B72," ",C72," litter consists of packaging")</f>
        <v>66,7% of NOR consumer litter consists of packaging</v>
      </c>
      <c r="R72"/>
      <c r="S72" s="25"/>
      <c r="T72" s="25"/>
      <c r="U72" s="25"/>
      <c r="V72" s="25"/>
      <c r="W72" s="25"/>
      <c r="X72" s="25"/>
      <c r="Y72" s="25"/>
      <c r="Z72" s="25"/>
      <c r="AA72" s="25"/>
      <c r="AC72" s="25"/>
      <c r="AD72" s="25"/>
      <c r="AE72" s="25"/>
      <c r="AF72" s="25"/>
      <c r="AG72" s="25"/>
      <c r="AH72" s="25"/>
      <c r="AI72" s="25"/>
      <c r="AJ72" s="25"/>
      <c r="AK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2:47" x14ac:dyDescent="0.2">
      <c r="B73" t="s">
        <v>31</v>
      </c>
      <c r="C73" t="s">
        <v>8</v>
      </c>
      <c r="D73">
        <f>'option 3.3 limiting landfill'!D64</f>
        <v>589</v>
      </c>
      <c r="E73">
        <f>'option 3.3 limiting landfill'!E64</f>
        <v>23840</v>
      </c>
      <c r="G73" s="10">
        <f t="shared" si="81"/>
        <v>2.411068811658275</v>
      </c>
      <c r="H73" s="1" t="s">
        <v>2</v>
      </c>
      <c r="I73" s="10"/>
      <c r="R73"/>
    </row>
    <row r="74" spans="2:47" x14ac:dyDescent="0.2">
      <c r="B74" t="s">
        <v>35</v>
      </c>
      <c r="C74" t="s">
        <v>7</v>
      </c>
      <c r="D74">
        <f>'option 3.3 limiting landfill'!D65</f>
        <v>1181</v>
      </c>
      <c r="E74">
        <f>'option 3.3 limiting landfill'!E65</f>
        <v>2444</v>
      </c>
      <c r="G74" s="10">
        <f t="shared" si="81"/>
        <v>32.57931034482759</v>
      </c>
      <c r="H74" s="1" t="s">
        <v>2</v>
      </c>
      <c r="I74" s="10">
        <f>G74+G76*(G74/(G74+G75))</f>
        <v>33.490694179104082</v>
      </c>
      <c r="J74" t="s">
        <v>2</v>
      </c>
      <c r="L74" t="str">
        <f t="shared" si="82"/>
        <v>33,5% of BAL industrial litter consists of packaging</v>
      </c>
      <c r="R74"/>
    </row>
    <row r="75" spans="2:47" x14ac:dyDescent="0.2">
      <c r="B75" t="s">
        <v>35</v>
      </c>
      <c r="C75" t="s">
        <v>34</v>
      </c>
      <c r="D75">
        <f>'option 3.3 limiting landfill'!D66</f>
        <v>6272</v>
      </c>
      <c r="E75">
        <f>'option 3.3 limiting landfill'!E66</f>
        <v>3949</v>
      </c>
      <c r="G75" s="10">
        <f t="shared" si="81"/>
        <v>61.363858722238533</v>
      </c>
      <c r="H75" s="1" t="s">
        <v>2</v>
      </c>
      <c r="I75" s="10">
        <f>G75+G76*(G75/(G74+G75))</f>
        <v>63.080470530663561</v>
      </c>
      <c r="J75" t="s">
        <v>2</v>
      </c>
      <c r="L75" t="str">
        <f t="shared" si="82"/>
        <v>63,1% of BAL consumer litter consists of packaging</v>
      </c>
      <c r="R75"/>
    </row>
    <row r="76" spans="2:47" x14ac:dyDescent="0.2">
      <c r="B76" t="s">
        <v>35</v>
      </c>
      <c r="C76" t="s">
        <v>8</v>
      </c>
      <c r="D76">
        <f>'option 3.3 limiting landfill'!D67</f>
        <v>193</v>
      </c>
      <c r="E76">
        <f>'option 3.3 limiting landfill'!E67</f>
        <v>7151</v>
      </c>
      <c r="G76" s="10">
        <f t="shared" si="81"/>
        <v>2.6279956427015252</v>
      </c>
      <c r="H76" s="1" t="s">
        <v>2</v>
      </c>
      <c r="R76"/>
    </row>
    <row r="77" spans="2:47" x14ac:dyDescent="0.2">
      <c r="B77" t="s">
        <v>36</v>
      </c>
      <c r="C77" t="s">
        <v>7</v>
      </c>
      <c r="D77">
        <f>'option 3.3 limiting landfill'!D68</f>
        <v>15</v>
      </c>
      <c r="E77">
        <f>'option 3.3 limiting landfill'!E68</f>
        <v>320</v>
      </c>
      <c r="G77" s="10">
        <f t="shared" si="81"/>
        <v>4.4776119402985071</v>
      </c>
      <c r="H77" s="1" t="s">
        <v>2</v>
      </c>
      <c r="I77" s="10">
        <f>G77+G79*(G77/(G77+G78))</f>
        <v>4.7310359768566617</v>
      </c>
      <c r="J77" t="s">
        <v>2</v>
      </c>
      <c r="L77" t="str">
        <f t="shared" si="82"/>
        <v>4,7% of BLA industrial litter consists of packaging</v>
      </c>
      <c r="R77"/>
    </row>
    <row r="78" spans="2:47" x14ac:dyDescent="0.2">
      <c r="B78" t="s">
        <v>36</v>
      </c>
      <c r="C78" t="s">
        <v>34</v>
      </c>
      <c r="D78">
        <f>'option 3.3 limiting landfill'!D69</f>
        <v>2636</v>
      </c>
      <c r="E78">
        <f>'option 3.3 limiting landfill'!E69</f>
        <v>2609</v>
      </c>
      <c r="G78" s="10">
        <f t="shared" si="81"/>
        <v>50.257387988560531</v>
      </c>
      <c r="H78" s="1" t="s">
        <v>2</v>
      </c>
      <c r="I78" s="10">
        <f>G78+G79*(G78/(G77+G78))</f>
        <v>53.101857384468303</v>
      </c>
      <c r="J78" t="s">
        <v>2</v>
      </c>
      <c r="L78" t="str">
        <f t="shared" si="82"/>
        <v>53,1% of BLA consumer litter consists of packaging</v>
      </c>
      <c r="R78"/>
    </row>
    <row r="79" spans="2:47" x14ac:dyDescent="0.2">
      <c r="B79" t="s">
        <v>36</v>
      </c>
      <c r="C79" t="s">
        <v>8</v>
      </c>
      <c r="D79">
        <f>'option 3.3 limiting landfill'!D70</f>
        <v>25</v>
      </c>
      <c r="E79">
        <f>'option 3.3 limiting landfill'!E70</f>
        <v>782</v>
      </c>
      <c r="G79" s="10">
        <f t="shared" si="81"/>
        <v>3.0978934324659235</v>
      </c>
      <c r="H79" s="1" t="s">
        <v>2</v>
      </c>
      <c r="I79" s="10"/>
      <c r="R79"/>
    </row>
    <row r="80" spans="2:47" x14ac:dyDescent="0.2">
      <c r="B80" t="s">
        <v>37</v>
      </c>
      <c r="C80" t="s">
        <v>7</v>
      </c>
      <c r="D80">
        <f>'option 3.3 limiting landfill'!D71</f>
        <v>241</v>
      </c>
      <c r="E80">
        <f>'option 3.3 limiting landfill'!E71</f>
        <v>535</v>
      </c>
      <c r="G80" s="10">
        <f t="shared" si="81"/>
        <v>31.056701030927837</v>
      </c>
      <c r="H80" s="1" t="s">
        <v>2</v>
      </c>
      <c r="I80" s="10">
        <f>G80+G82*(G80/(G80+G81))</f>
        <v>32.847440903542989</v>
      </c>
      <c r="J80" t="s">
        <v>2</v>
      </c>
      <c r="L80" t="str">
        <f t="shared" si="82"/>
        <v>32,8% of MED industrial litter consists of packaging</v>
      </c>
      <c r="R80"/>
    </row>
    <row r="81" spans="2:18" x14ac:dyDescent="0.2">
      <c r="B81" t="s">
        <v>37</v>
      </c>
      <c r="C81" t="s">
        <v>34</v>
      </c>
      <c r="D81">
        <f>'option 3.3 limiting landfill'!D72</f>
        <v>17044</v>
      </c>
      <c r="E81">
        <f>'option 3.3 limiting landfill'!E72</f>
        <v>6716</v>
      </c>
      <c r="G81" s="10">
        <f t="shared" si="81"/>
        <v>71.734006734006741</v>
      </c>
      <c r="H81" s="1" t="s">
        <v>2</v>
      </c>
      <c r="I81" s="10">
        <f>G81+G82*(G81/(G80+G81))</f>
        <v>75.870213794541144</v>
      </c>
      <c r="J81" t="s">
        <v>2</v>
      </c>
      <c r="L81" t="str">
        <f t="shared" si="82"/>
        <v>75,9% of MED consumer litter consists of packaging</v>
      </c>
      <c r="R81"/>
    </row>
    <row r="82" spans="2:18" x14ac:dyDescent="0.2">
      <c r="B82" t="s">
        <v>37</v>
      </c>
      <c r="C82" t="s">
        <v>8</v>
      </c>
      <c r="D82">
        <f>'option 3.3 limiting landfill'!D73</f>
        <v>86</v>
      </c>
      <c r="E82">
        <f>'option 3.3 limiting landfill'!E73</f>
        <v>1365</v>
      </c>
      <c r="G82" s="10">
        <f t="shared" si="81"/>
        <v>5.9269469331495523</v>
      </c>
      <c r="H82" s="1" t="s">
        <v>2</v>
      </c>
      <c r="R82"/>
    </row>
    <row r="83" spans="2:18" x14ac:dyDescent="0.2">
      <c r="I83" s="146">
        <f>'option 3.3 limiting landfill'!I74</f>
        <v>60.789731032131009</v>
      </c>
      <c r="J83" t="s">
        <v>2</v>
      </c>
      <c r="L83" t="str">
        <f>'option 3.3 limiting landfill'!L74</f>
        <v>60,8% of EU consumer litter consists of packaging</v>
      </c>
    </row>
    <row r="84" spans="2:18" x14ac:dyDescent="0.2">
      <c r="I84" s="148">
        <f>'option 3.3 limiting landfill'!I75</f>
        <v>7.3719774495337935</v>
      </c>
      <c r="J84" t="s">
        <v>2</v>
      </c>
      <c r="L84" t="str">
        <f>'option 3.3 limiting landfill'!L75</f>
        <v>7,4% of EU industrial litter consists of packaging</v>
      </c>
    </row>
    <row r="88" spans="2:18" x14ac:dyDescent="0.2">
      <c r="B88" s="84" t="s">
        <v>68</v>
      </c>
      <c r="C88" s="53"/>
    </row>
    <row r="89" spans="2:18" x14ac:dyDescent="0.2">
      <c r="B89" t="str">
        <f>'option 3.3 limiting landfill'!B80</f>
        <v>as in option 1</v>
      </c>
    </row>
    <row r="90" spans="2:18" x14ac:dyDescent="0.2">
      <c r="L90" s="1" t="str">
        <f>'option 3.3 limiting landfill'!L81</f>
        <v>EU averages are weighed, based on:</v>
      </c>
      <c r="M90" s="1"/>
      <c r="N90" s="1"/>
      <c r="O90" s="1"/>
    </row>
    <row r="91" spans="2:18" ht="14.25" x14ac:dyDescent="0.2">
      <c r="B91" s="12" t="s">
        <v>69</v>
      </c>
      <c r="C91" s="12" t="s">
        <v>70</v>
      </c>
      <c r="D91" s="12" t="s">
        <v>71</v>
      </c>
      <c r="E91" s="12" t="s">
        <v>72</v>
      </c>
      <c r="F91" s="12" t="s">
        <v>73</v>
      </c>
      <c r="L91" s="1"/>
      <c r="M91" s="1" t="str">
        <f>'option 3.3 limiting landfill'!M82</f>
        <v>km</v>
      </c>
      <c r="N91" s="1"/>
      <c r="O91" s="1"/>
    </row>
    <row r="92" spans="2:18" ht="14.25" x14ac:dyDescent="0.2">
      <c r="B92" s="285">
        <f>'option 3.3 limiting landfill'!B83</f>
        <v>219</v>
      </c>
      <c r="C92" s="14" t="s">
        <v>35</v>
      </c>
      <c r="D92" s="14" t="s">
        <v>63</v>
      </c>
      <c r="E92" s="14" t="s">
        <v>32</v>
      </c>
      <c r="F92" s="14" t="s">
        <v>34</v>
      </c>
      <c r="H92" s="1">
        <f t="shared" ref="H92:H97" si="83">B92/$B$98*100</f>
        <v>3.3973033008968847</v>
      </c>
      <c r="L92" s="1"/>
      <c r="M92" s="1"/>
      <c r="N92" s="86" t="str">
        <f>'option 3.3 limiting landfill'!N83</f>
        <v>Share of coastline</v>
      </c>
      <c r="O92" s="1" t="str">
        <f>'option 3.3 limiting landfill'!O83</f>
        <v># of surveys</v>
      </c>
    </row>
    <row r="93" spans="2:18" ht="14.25" x14ac:dyDescent="0.2">
      <c r="B93" s="285">
        <f>'option 3.3 limiting landfill'!B84</f>
        <v>1046.9933523266857</v>
      </c>
      <c r="C93" s="14" t="s">
        <v>35</v>
      </c>
      <c r="D93" s="14" t="s">
        <v>76</v>
      </c>
      <c r="E93" s="14" t="s">
        <v>32</v>
      </c>
      <c r="F93" s="14" t="s">
        <v>34</v>
      </c>
      <c r="H93" s="1">
        <f t="shared" si="83"/>
        <v>16.241798958340382</v>
      </c>
      <c r="L93" s="86" t="str">
        <f>'option 3.3 limiting landfill'!L84</f>
        <v>Baltic Sea</v>
      </c>
      <c r="M93" s="1">
        <f>'option 3.3 limiting landfill'!M84</f>
        <v>13080</v>
      </c>
      <c r="N93" s="3">
        <f>'option 3.3 limiting landfill'!N84</f>
        <v>0.26286173633440513</v>
      </c>
      <c r="O93" s="1">
        <f>'option 3.3 limiting landfill'!O84</f>
        <v>152</v>
      </c>
    </row>
    <row r="94" spans="2:18" ht="14.25" x14ac:dyDescent="0.2">
      <c r="B94" s="285">
        <f>'option 3.3 limiting landfill'!B85</f>
        <v>426</v>
      </c>
      <c r="C94" s="14" t="s">
        <v>35</v>
      </c>
      <c r="D94" s="14" t="s">
        <v>77</v>
      </c>
      <c r="E94" s="14" t="s">
        <v>32</v>
      </c>
      <c r="F94" s="14" t="s">
        <v>34</v>
      </c>
      <c r="H94" s="1">
        <f t="shared" si="83"/>
        <v>6.6084529962651724</v>
      </c>
      <c r="L94" s="86" t="str">
        <f>'option 3.3 limiting landfill'!L85</f>
        <v>Mediterranean Sea</v>
      </c>
      <c r="M94" s="1">
        <f>'option 3.3 limiting landfill'!M85</f>
        <v>16164</v>
      </c>
      <c r="N94" s="3">
        <f>'option 3.3 limiting landfill'!N85</f>
        <v>0.32483922829581996</v>
      </c>
      <c r="O94" s="1">
        <f>'option 3.3 limiting landfill'!O85</f>
        <v>33</v>
      </c>
    </row>
    <row r="95" spans="2:18" ht="14.25" x14ac:dyDescent="0.2">
      <c r="B95" s="285">
        <f>'option 3.3 limiting landfill'!B86</f>
        <v>4296.2959719789842</v>
      </c>
      <c r="C95" s="14" t="s">
        <v>35</v>
      </c>
      <c r="D95" s="14" t="s">
        <v>78</v>
      </c>
      <c r="E95" s="14" t="s">
        <v>32</v>
      </c>
      <c r="F95" s="14" t="s">
        <v>34</v>
      </c>
      <c r="H95" s="1">
        <f t="shared" si="83"/>
        <v>66.647582133489465</v>
      </c>
      <c r="L95" s="86" t="str">
        <f>'option 3.3 limiting landfill'!L86</f>
        <v>North Sea</v>
      </c>
      <c r="M95" s="1">
        <f>'option 3.3 limiting landfill'!M86</f>
        <v>19885</v>
      </c>
      <c r="N95" s="3">
        <f>'option 3.3 limiting landfill'!N86</f>
        <v>0.39961816720257237</v>
      </c>
      <c r="O95" s="1">
        <f>'option 3.3 limiting landfill'!O86</f>
        <v>151</v>
      </c>
    </row>
    <row r="96" spans="2:18" ht="14.25" x14ac:dyDescent="0.2">
      <c r="B96" s="285">
        <f>'option 3.3 limiting landfill'!B87</f>
        <v>229</v>
      </c>
      <c r="C96" s="14" t="s">
        <v>35</v>
      </c>
      <c r="D96" s="14" t="s">
        <v>79</v>
      </c>
      <c r="E96" s="14" t="s">
        <v>32</v>
      </c>
      <c r="F96" s="14" t="s">
        <v>34</v>
      </c>
      <c r="H96" s="1">
        <f t="shared" si="83"/>
        <v>3.5524313055040482</v>
      </c>
      <c r="L96" s="86" t="str">
        <f>'option 3.3 limiting landfill'!L87</f>
        <v>Black Sea</v>
      </c>
      <c r="M96" s="1">
        <f>'option 3.3 limiting landfill'!M87</f>
        <v>631</v>
      </c>
      <c r="N96" s="3">
        <f>'option 3.3 limiting landfill'!N87</f>
        <v>1.2680868167202573E-2</v>
      </c>
      <c r="O96" s="1">
        <f>'option 3.3 limiting landfill'!O87</f>
        <v>7</v>
      </c>
    </row>
    <row r="97" spans="2:15" ht="14.25" x14ac:dyDescent="0.2">
      <c r="B97" s="285">
        <f>'option 3.3 limiting landfill'!B88</f>
        <v>229</v>
      </c>
      <c r="C97" s="14" t="s">
        <v>35</v>
      </c>
      <c r="D97" s="14" t="s">
        <v>80</v>
      </c>
      <c r="E97" s="14" t="s">
        <v>32</v>
      </c>
      <c r="F97" s="14" t="s">
        <v>34</v>
      </c>
      <c r="H97" s="1">
        <f t="shared" si="83"/>
        <v>3.5524313055040482</v>
      </c>
      <c r="L97" s="86" t="str">
        <f>'option 3.3 limiting landfill'!L88</f>
        <v>Total coast line</v>
      </c>
      <c r="M97" s="1">
        <f>'option 3.3 limiting landfill'!M88</f>
        <v>49760</v>
      </c>
      <c r="N97" s="3">
        <f>'option 3.3 limiting landfill'!N88</f>
        <v>1</v>
      </c>
      <c r="O97" s="1"/>
    </row>
    <row r="98" spans="2:15" ht="14.25" x14ac:dyDescent="0.2">
      <c r="B98" s="278">
        <f>SUM(B92:B97)</f>
        <v>6446.2893243056697</v>
      </c>
      <c r="C98" s="14"/>
      <c r="D98" s="14"/>
      <c r="E98" s="14"/>
      <c r="F98" s="14"/>
      <c r="H98" s="16">
        <f>SUM(H92:H97)</f>
        <v>99.999999999999986</v>
      </c>
    </row>
    <row r="99" spans="2:15" ht="14.25" x14ac:dyDescent="0.2">
      <c r="B99" s="285">
        <f>'option 3.3 limiting landfill'!B90</f>
        <v>24</v>
      </c>
      <c r="C99" s="14" t="s">
        <v>36</v>
      </c>
      <c r="D99" s="14" t="s">
        <v>63</v>
      </c>
      <c r="E99" s="14" t="s">
        <v>32</v>
      </c>
      <c r="F99" s="14" t="s">
        <v>34</v>
      </c>
      <c r="H99" s="1">
        <f t="shared" ref="H99:H104" si="84">B99/$B$105*100</f>
        <v>0.90739181920646006</v>
      </c>
    </row>
    <row r="100" spans="2:15" ht="14.25" x14ac:dyDescent="0.2">
      <c r="B100" s="285">
        <f>'option 3.3 limiting landfill'!B91</f>
        <v>482.94339622641508</v>
      </c>
      <c r="C100" s="14" t="s">
        <v>36</v>
      </c>
      <c r="D100" s="14" t="s">
        <v>76</v>
      </c>
      <c r="E100" s="14" t="s">
        <v>32</v>
      </c>
      <c r="F100" s="14" t="s">
        <v>34</v>
      </c>
      <c r="H100" s="1">
        <f t="shared" si="84"/>
        <v>18.259120286484713</v>
      </c>
    </row>
    <row r="101" spans="2:15" ht="14.25" x14ac:dyDescent="0.2">
      <c r="B101" s="285">
        <f>'option 3.3 limiting landfill'!B92</f>
        <v>44</v>
      </c>
      <c r="C101" s="14" t="s">
        <v>36</v>
      </c>
      <c r="D101" s="14" t="s">
        <v>77</v>
      </c>
      <c r="E101" s="14" t="s">
        <v>32</v>
      </c>
      <c r="F101" s="14" t="s">
        <v>34</v>
      </c>
      <c r="H101" s="1">
        <f t="shared" si="84"/>
        <v>1.6635516685451768</v>
      </c>
    </row>
    <row r="102" spans="2:15" ht="14.25" x14ac:dyDescent="0.2">
      <c r="B102" s="285">
        <f>'option 3.3 limiting landfill'!B93</f>
        <v>2024</v>
      </c>
      <c r="C102" s="14" t="s">
        <v>36</v>
      </c>
      <c r="D102" s="14" t="s">
        <v>78</v>
      </c>
      <c r="E102" s="14" t="s">
        <v>32</v>
      </c>
      <c r="F102" s="14" t="s">
        <v>34</v>
      </c>
      <c r="H102" s="1">
        <f t="shared" si="84"/>
        <v>76.523376753078139</v>
      </c>
    </row>
    <row r="103" spans="2:15" ht="14.25" x14ac:dyDescent="0.2">
      <c r="B103" s="285">
        <f>'option 3.3 limiting landfill'!B94</f>
        <v>69</v>
      </c>
      <c r="C103" s="14" t="s">
        <v>36</v>
      </c>
      <c r="D103" s="14" t="s">
        <v>79</v>
      </c>
      <c r="E103" s="14" t="s">
        <v>32</v>
      </c>
      <c r="F103" s="14" t="s">
        <v>34</v>
      </c>
      <c r="H103" s="1">
        <f t="shared" si="84"/>
        <v>2.6087514802185732</v>
      </c>
    </row>
    <row r="104" spans="2:15" ht="14.25" x14ac:dyDescent="0.2">
      <c r="B104" s="285">
        <f>'option 3.3 limiting landfill'!B95</f>
        <v>1</v>
      </c>
      <c r="C104" s="14" t="s">
        <v>36</v>
      </c>
      <c r="D104" s="14" t="s">
        <v>80</v>
      </c>
      <c r="E104" s="14" t="s">
        <v>32</v>
      </c>
      <c r="F104" s="14" t="s">
        <v>34</v>
      </c>
      <c r="H104" s="1">
        <f t="shared" si="84"/>
        <v>3.7807992466935843E-2</v>
      </c>
    </row>
    <row r="105" spans="2:15" ht="14.25" x14ac:dyDescent="0.2">
      <c r="B105" s="278">
        <f>SUM(B99:B104)</f>
        <v>2644.9433962264152</v>
      </c>
      <c r="C105" s="14"/>
      <c r="D105" s="14"/>
      <c r="E105" s="14"/>
      <c r="F105" s="14"/>
      <c r="H105" s="16">
        <f>SUM(H99:H104)</f>
        <v>100</v>
      </c>
    </row>
    <row r="106" spans="2:15" ht="14.25" x14ac:dyDescent="0.2">
      <c r="B106" s="285">
        <f>'option 3.3 limiting landfill'!B97</f>
        <v>923</v>
      </c>
      <c r="C106" s="14" t="s">
        <v>37</v>
      </c>
      <c r="D106" s="14" t="s">
        <v>63</v>
      </c>
      <c r="E106" s="14" t="s">
        <v>32</v>
      </c>
      <c r="F106" s="14" t="s">
        <v>34</v>
      </c>
      <c r="H106" s="1">
        <f t="shared" ref="H106:H111" si="85">B106/$B$112*100</f>
        <v>5.3898006523170325</v>
      </c>
    </row>
    <row r="107" spans="2:15" ht="14.25" x14ac:dyDescent="0.2">
      <c r="B107" s="285">
        <f>'option 3.3 limiting landfill'!B98</f>
        <v>512</v>
      </c>
      <c r="C107" s="14" t="s">
        <v>37</v>
      </c>
      <c r="D107" s="14" t="s">
        <v>76</v>
      </c>
      <c r="E107" s="14" t="s">
        <v>32</v>
      </c>
      <c r="F107" s="14" t="s">
        <v>34</v>
      </c>
      <c r="H107" s="1">
        <f t="shared" si="85"/>
        <v>2.9897919111444424</v>
      </c>
    </row>
    <row r="108" spans="2:15" ht="14.25" x14ac:dyDescent="0.2">
      <c r="B108" s="285">
        <f>'option 3.3 limiting landfill'!B99</f>
        <v>1597</v>
      </c>
      <c r="C108" s="14" t="s">
        <v>37</v>
      </c>
      <c r="D108" s="14" t="s">
        <v>77</v>
      </c>
      <c r="E108" s="14" t="s">
        <v>32</v>
      </c>
      <c r="F108" s="14" t="s">
        <v>34</v>
      </c>
      <c r="H108" s="1">
        <f t="shared" si="85"/>
        <v>9.3255814103470218</v>
      </c>
    </row>
    <row r="109" spans="2:15" ht="14.25" x14ac:dyDescent="0.2">
      <c r="B109" s="285">
        <f>'option 3.3 limiting landfill'!B100</f>
        <v>14022.937628318585</v>
      </c>
      <c r="C109" s="14" t="s">
        <v>37</v>
      </c>
      <c r="D109" s="14" t="s">
        <v>78</v>
      </c>
      <c r="E109" s="14" t="s">
        <v>32</v>
      </c>
      <c r="F109" s="14" t="s">
        <v>34</v>
      </c>
      <c r="H109" s="1">
        <f t="shared" si="85"/>
        <v>81.886065413339722</v>
      </c>
    </row>
    <row r="110" spans="2:15" ht="14.25" x14ac:dyDescent="0.2">
      <c r="B110" s="285">
        <f>'option 3.3 limiting landfill'!B101</f>
        <v>38</v>
      </c>
      <c r="C110" s="14" t="s">
        <v>37</v>
      </c>
      <c r="D110" s="14" t="s">
        <v>79</v>
      </c>
      <c r="E110" s="14" t="s">
        <v>32</v>
      </c>
      <c r="F110" s="14" t="s">
        <v>34</v>
      </c>
      <c r="H110" s="1">
        <f t="shared" si="85"/>
        <v>0.2218986184052516</v>
      </c>
    </row>
    <row r="111" spans="2:15" ht="14.25" x14ac:dyDescent="0.2">
      <c r="B111" s="285">
        <f>'option 3.3 limiting landfill'!B102</f>
        <v>32</v>
      </c>
      <c r="C111" s="14" t="s">
        <v>37</v>
      </c>
      <c r="D111" s="14" t="s">
        <v>80</v>
      </c>
      <c r="E111" s="14" t="s">
        <v>32</v>
      </c>
      <c r="F111" s="14" t="s">
        <v>34</v>
      </c>
      <c r="H111" s="1">
        <f t="shared" si="85"/>
        <v>0.18686199444652765</v>
      </c>
    </row>
    <row r="112" spans="2:15" ht="14.25" x14ac:dyDescent="0.2">
      <c r="B112" s="278">
        <f>SUM(B106:B111)</f>
        <v>17124.937628318585</v>
      </c>
      <c r="C112" s="14"/>
      <c r="D112" s="14"/>
      <c r="E112" s="14"/>
      <c r="F112" s="14"/>
      <c r="H112" s="16">
        <f>SUM(H106:H111)</f>
        <v>100</v>
      </c>
    </row>
    <row r="113" spans="2:8" ht="14.25" x14ac:dyDescent="0.2">
      <c r="B113" s="285">
        <f>'option 3.3 limiting landfill'!B104</f>
        <v>171</v>
      </c>
      <c r="C113" s="14" t="s">
        <v>31</v>
      </c>
      <c r="D113" s="14" t="s">
        <v>63</v>
      </c>
      <c r="E113" s="14" t="s">
        <v>32</v>
      </c>
      <c r="F113" s="14" t="s">
        <v>34</v>
      </c>
      <c r="H113" s="1">
        <f t="shared" ref="H113:H118" si="86">B113/$B$119*100</f>
        <v>0.89511083776975808</v>
      </c>
    </row>
    <row r="114" spans="2:8" ht="14.25" x14ac:dyDescent="0.2">
      <c r="B114" s="285">
        <f>'option 3.3 limiting landfill'!B105</f>
        <v>747.52475247524751</v>
      </c>
      <c r="C114" s="14" t="s">
        <v>31</v>
      </c>
      <c r="D114" s="14" t="s">
        <v>76</v>
      </c>
      <c r="E114" s="14" t="s">
        <v>32</v>
      </c>
      <c r="F114" s="14" t="s">
        <v>34</v>
      </c>
      <c r="H114" s="1">
        <f t="shared" si="86"/>
        <v>3.912967879776315</v>
      </c>
    </row>
    <row r="115" spans="2:8" ht="14.25" x14ac:dyDescent="0.2">
      <c r="B115" s="285">
        <f>'option 3.3 limiting landfill'!B106</f>
        <v>391</v>
      </c>
      <c r="C115" s="14" t="s">
        <v>31</v>
      </c>
      <c r="D115" s="14" t="s">
        <v>77</v>
      </c>
      <c r="E115" s="14" t="s">
        <v>32</v>
      </c>
      <c r="F115" s="14" t="s">
        <v>34</v>
      </c>
      <c r="H115" s="1">
        <f t="shared" si="86"/>
        <v>2.0467154243741255</v>
      </c>
    </row>
    <row r="116" spans="2:8" ht="14.25" x14ac:dyDescent="0.2">
      <c r="B116" s="285">
        <f>'option 3.3 limiting landfill'!B107</f>
        <v>17423.254666178702</v>
      </c>
      <c r="C116" s="14" t="s">
        <v>31</v>
      </c>
      <c r="D116" s="14" t="s">
        <v>78</v>
      </c>
      <c r="E116" s="14" t="s">
        <v>32</v>
      </c>
      <c r="F116" s="14" t="s">
        <v>34</v>
      </c>
      <c r="H116" s="1">
        <f t="shared" si="86"/>
        <v>91.203181759760611</v>
      </c>
    </row>
    <row r="117" spans="2:8" ht="14.25" x14ac:dyDescent="0.2">
      <c r="B117" s="285">
        <f>'option 3.3 limiting landfill'!B108</f>
        <v>312</v>
      </c>
      <c r="C117" s="14" t="s">
        <v>31</v>
      </c>
      <c r="D117" s="14" t="s">
        <v>79</v>
      </c>
      <c r="E117" s="14" t="s">
        <v>32</v>
      </c>
      <c r="F117" s="14" t="s">
        <v>34</v>
      </c>
      <c r="H117" s="1">
        <f t="shared" si="86"/>
        <v>1.6331846864571027</v>
      </c>
    </row>
    <row r="118" spans="2:8" ht="14.25" x14ac:dyDescent="0.2">
      <c r="B118" s="285">
        <f>'option 3.3 limiting landfill'!B109</f>
        <v>59</v>
      </c>
      <c r="C118" s="14" t="s">
        <v>31</v>
      </c>
      <c r="D118" s="14" t="s">
        <v>80</v>
      </c>
      <c r="E118" s="14" t="s">
        <v>32</v>
      </c>
      <c r="F118" s="14" t="s">
        <v>34</v>
      </c>
      <c r="H118" s="1">
        <f t="shared" si="86"/>
        <v>0.3088394118620803</v>
      </c>
    </row>
    <row r="119" spans="2:8" ht="14.25" x14ac:dyDescent="0.2">
      <c r="B119" s="278">
        <f>SUM(B113:B118)</f>
        <v>19103.77941865395</v>
      </c>
      <c r="C119" s="14"/>
      <c r="D119" s="14"/>
      <c r="E119" s="14"/>
      <c r="F119" s="14"/>
      <c r="H119" s="16">
        <f>SUM(H113:H118)</f>
        <v>99.999999999999986</v>
      </c>
    </row>
    <row r="120" spans="2:8" ht="14.25" x14ac:dyDescent="0.2">
      <c r="B120" s="285">
        <f>'option 3.3 limiting landfill'!B111</f>
        <v>2</v>
      </c>
      <c r="C120" s="14" t="s">
        <v>35</v>
      </c>
      <c r="D120" s="14" t="s">
        <v>74</v>
      </c>
      <c r="E120" s="14" t="s">
        <v>32</v>
      </c>
      <c r="F120" s="14" t="s">
        <v>75</v>
      </c>
      <c r="H120" s="1">
        <f>B120/$B$125*100</f>
        <v>0.16670686028883624</v>
      </c>
    </row>
    <row r="121" spans="2:8" ht="14.25" x14ac:dyDescent="0.2">
      <c r="B121" s="285">
        <f>'option 3.3 limiting landfill'!B112</f>
        <v>7.0066476733143404</v>
      </c>
      <c r="C121" s="14" t="s">
        <v>35</v>
      </c>
      <c r="D121" s="14" t="s">
        <v>76</v>
      </c>
      <c r="E121" s="14" t="s">
        <v>32</v>
      </c>
      <c r="F121" s="14" t="s">
        <v>75</v>
      </c>
      <c r="H121" s="1">
        <f>B121/$B$125*100</f>
        <v>0.5840281173841565</v>
      </c>
    </row>
    <row r="122" spans="2:8" ht="14.25" x14ac:dyDescent="0.2">
      <c r="B122" s="285">
        <f>'option 3.3 limiting landfill'!B113</f>
        <v>237</v>
      </c>
      <c r="C122" s="14" t="s">
        <v>35</v>
      </c>
      <c r="D122" s="14" t="s">
        <v>77</v>
      </c>
      <c r="E122" s="14" t="s">
        <v>32</v>
      </c>
      <c r="F122" s="14" t="s">
        <v>75</v>
      </c>
      <c r="H122" s="1">
        <f>B122/$B$125*100</f>
        <v>19.754762944227092</v>
      </c>
    </row>
    <row r="123" spans="2:8" ht="14.25" x14ac:dyDescent="0.2">
      <c r="B123" s="285">
        <f>'option 3.3 limiting landfill'!B114</f>
        <v>463.70402802101574</v>
      </c>
      <c r="C123" s="14" t="s">
        <v>35</v>
      </c>
      <c r="D123" s="14" t="s">
        <v>78</v>
      </c>
      <c r="E123" s="14" t="s">
        <v>32</v>
      </c>
      <c r="F123" s="14" t="s">
        <v>75</v>
      </c>
      <c r="H123" s="1">
        <f>B123/$B$125*100</f>
        <v>38.651321307335031</v>
      </c>
    </row>
    <row r="124" spans="2:8" ht="14.25" x14ac:dyDescent="0.2">
      <c r="B124" s="285">
        <f>'option 3.3 limiting landfill'!B115</f>
        <v>490</v>
      </c>
      <c r="C124" s="14" t="s">
        <v>35</v>
      </c>
      <c r="D124" s="14" t="s">
        <v>79</v>
      </c>
      <c r="E124" s="14" t="s">
        <v>32</v>
      </c>
      <c r="F124" s="14" t="s">
        <v>75</v>
      </c>
      <c r="H124" s="1">
        <f>B124/$B$125*100</f>
        <v>40.843180770764874</v>
      </c>
    </row>
    <row r="125" spans="2:8" ht="14.25" x14ac:dyDescent="0.2">
      <c r="B125" s="278">
        <f>SUM(B120:B124)</f>
        <v>1199.7106756943301</v>
      </c>
      <c r="C125" s="14"/>
      <c r="D125" s="14"/>
      <c r="E125" s="14"/>
      <c r="F125" s="14"/>
      <c r="H125" s="16">
        <f>SUM(H120:H124)</f>
        <v>100</v>
      </c>
    </row>
    <row r="126" spans="2:8" ht="14.25" x14ac:dyDescent="0.2">
      <c r="B126" s="285">
        <f>'option 3.3 limiting landfill'!B117</f>
        <v>3</v>
      </c>
      <c r="C126" s="14" t="s">
        <v>36</v>
      </c>
      <c r="D126" s="14" t="s">
        <v>76</v>
      </c>
      <c r="E126" s="14" t="s">
        <v>32</v>
      </c>
      <c r="F126" s="14" t="s">
        <v>75</v>
      </c>
      <c r="H126" s="1">
        <f>B126/$B$128*100</f>
        <v>20</v>
      </c>
    </row>
    <row r="127" spans="2:8" ht="14.25" x14ac:dyDescent="0.2">
      <c r="B127" s="285">
        <f>'option 3.3 limiting landfill'!B118</f>
        <v>12</v>
      </c>
      <c r="C127" s="14" t="s">
        <v>36</v>
      </c>
      <c r="D127" s="14" t="s">
        <v>77</v>
      </c>
      <c r="E127" s="14" t="s">
        <v>32</v>
      </c>
      <c r="F127" s="14" t="s">
        <v>75</v>
      </c>
      <c r="H127" s="1">
        <f>B127/$B$128*100</f>
        <v>80</v>
      </c>
    </row>
    <row r="128" spans="2:8" ht="14.25" x14ac:dyDescent="0.2">
      <c r="B128" s="278">
        <f>SUM(B126:B127)</f>
        <v>15</v>
      </c>
      <c r="C128" s="14"/>
      <c r="D128" s="14"/>
      <c r="E128" s="14"/>
      <c r="F128" s="14"/>
      <c r="H128" s="16">
        <f>SUM(H126:H127)</f>
        <v>100</v>
      </c>
    </row>
    <row r="129" spans="2:14" ht="14.25" x14ac:dyDescent="0.2">
      <c r="B129" s="285">
        <f>'option 3.3 limiting landfill'!B120</f>
        <v>38</v>
      </c>
      <c r="C129" s="14" t="s">
        <v>37</v>
      </c>
      <c r="D129" s="14" t="s">
        <v>77</v>
      </c>
      <c r="E129" s="14" t="s">
        <v>32</v>
      </c>
      <c r="F129" s="14" t="s">
        <v>75</v>
      </c>
      <c r="H129" s="1">
        <f>B129/$B$132*100</f>
        <v>15.698433315365806</v>
      </c>
    </row>
    <row r="130" spans="2:14" ht="14.25" x14ac:dyDescent="0.2">
      <c r="B130" s="285">
        <f>'option 3.3 limiting landfill'!B121</f>
        <v>184.06237168141593</v>
      </c>
      <c r="C130" s="14" t="s">
        <v>37</v>
      </c>
      <c r="D130" s="14" t="s">
        <v>78</v>
      </c>
      <c r="E130" s="14" t="s">
        <v>32</v>
      </c>
      <c r="F130" s="14" t="s">
        <v>75</v>
      </c>
      <c r="H130" s="1">
        <f>B130/$B$132*100</f>
        <v>76.03923336075745</v>
      </c>
    </row>
    <row r="131" spans="2:14" ht="14.25" x14ac:dyDescent="0.2">
      <c r="B131" s="285">
        <f>'option 3.3 limiting landfill'!B122</f>
        <v>20</v>
      </c>
      <c r="C131" s="14" t="s">
        <v>37</v>
      </c>
      <c r="D131" s="14" t="s">
        <v>79</v>
      </c>
      <c r="E131" s="14" t="s">
        <v>32</v>
      </c>
      <c r="F131" s="14" t="s">
        <v>75</v>
      </c>
      <c r="H131" s="1">
        <f>B131/$B$132*100</f>
        <v>8.2623333238767405</v>
      </c>
    </row>
    <row r="132" spans="2:14" ht="14.25" x14ac:dyDescent="0.2">
      <c r="B132" s="278">
        <f>SUM(B129:B131)</f>
        <v>242.06237168141593</v>
      </c>
      <c r="C132" s="14"/>
      <c r="D132" s="14"/>
      <c r="E132" s="14"/>
      <c r="F132" s="14"/>
      <c r="H132" s="16">
        <f>SUM(H129:H131)</f>
        <v>100</v>
      </c>
    </row>
    <row r="133" spans="2:14" ht="14.25" x14ac:dyDescent="0.2">
      <c r="B133" s="285">
        <f>'option 3.3 limiting landfill'!B124</f>
        <v>33</v>
      </c>
      <c r="C133" s="14" t="s">
        <v>31</v>
      </c>
      <c r="D133" s="14" t="s">
        <v>74</v>
      </c>
      <c r="E133" s="14" t="s">
        <v>32</v>
      </c>
      <c r="F133" s="14" t="s">
        <v>75</v>
      </c>
      <c r="H133" s="1">
        <f>B133/$B$138*100</f>
        <v>1.3032040037546095</v>
      </c>
    </row>
    <row r="134" spans="2:14" ht="14.25" x14ac:dyDescent="0.2">
      <c r="B134" s="285">
        <f>'option 3.3 limiting landfill'!B125</f>
        <v>7.4752475247524757</v>
      </c>
      <c r="C134" s="14" t="s">
        <v>31</v>
      </c>
      <c r="D134" s="14" t="s">
        <v>76</v>
      </c>
      <c r="E134" s="14" t="s">
        <v>32</v>
      </c>
      <c r="F134" s="14" t="s">
        <v>75</v>
      </c>
      <c r="H134" s="1">
        <f>B134/$B$138*100</f>
        <v>0.29520522737315635</v>
      </c>
    </row>
    <row r="135" spans="2:14" ht="14.25" x14ac:dyDescent="0.2">
      <c r="B135" s="285">
        <f>'option 3.3 limiting landfill'!B126</f>
        <v>61</v>
      </c>
      <c r="C135" s="14" t="s">
        <v>31</v>
      </c>
      <c r="D135" s="14" t="s">
        <v>77</v>
      </c>
      <c r="E135" s="14" t="s">
        <v>32</v>
      </c>
      <c r="F135" s="14" t="s">
        <v>75</v>
      </c>
      <c r="H135" s="1">
        <f>B135/$B$138*100</f>
        <v>2.4089528554251873</v>
      </c>
    </row>
    <row r="136" spans="2:14" ht="14.25" x14ac:dyDescent="0.2">
      <c r="B136" s="285">
        <f>'option 3.3 limiting landfill'!B127</f>
        <v>2244.7453338212999</v>
      </c>
      <c r="C136" s="14" t="s">
        <v>31</v>
      </c>
      <c r="D136" s="14" t="s">
        <v>78</v>
      </c>
      <c r="E136" s="14" t="s">
        <v>32</v>
      </c>
      <c r="F136" s="14" t="s">
        <v>75</v>
      </c>
      <c r="H136" s="1">
        <f>B136/$B$138*100</f>
        <v>88.647306255921066</v>
      </c>
    </row>
    <row r="137" spans="2:14" ht="14.25" x14ac:dyDescent="0.2">
      <c r="B137" s="285">
        <f>'option 3.3 limiting landfill'!B128</f>
        <v>186</v>
      </c>
      <c r="C137" s="14" t="s">
        <v>31</v>
      </c>
      <c r="D137" s="14" t="s">
        <v>79</v>
      </c>
      <c r="E137" s="14" t="s">
        <v>32</v>
      </c>
      <c r="F137" s="14" t="s">
        <v>75</v>
      </c>
      <c r="H137" s="1">
        <f>B137/$B$138*100</f>
        <v>7.3453316575259802</v>
      </c>
    </row>
    <row r="138" spans="2:14" ht="14.25" x14ac:dyDescent="0.2">
      <c r="B138" s="278">
        <f>SUM(B133:B137)</f>
        <v>2532.2205813460523</v>
      </c>
      <c r="C138" s="14"/>
      <c r="D138" s="14"/>
      <c r="E138" s="14"/>
      <c r="F138" s="14"/>
      <c r="H138" s="16">
        <f>SUM(H133:H137)</f>
        <v>100</v>
      </c>
    </row>
    <row r="139" spans="2:14" ht="14.25" x14ac:dyDescent="0.2">
      <c r="B139" s="13"/>
      <c r="C139" s="14"/>
      <c r="D139" s="14"/>
      <c r="E139" s="14"/>
      <c r="F139" s="14"/>
    </row>
    <row r="140" spans="2:14" ht="14.25" x14ac:dyDescent="0.2">
      <c r="B140" s="13" t="s">
        <v>34</v>
      </c>
      <c r="C140" s="14" t="s">
        <v>81</v>
      </c>
      <c r="D140" s="14" t="s">
        <v>62</v>
      </c>
      <c r="E140" s="14"/>
      <c r="F140" s="14"/>
      <c r="H140" s="149">
        <f>'option 3.3 limiting landfill'!H131</f>
        <v>83.057979393622716</v>
      </c>
      <c r="I140" t="s">
        <v>2</v>
      </c>
    </row>
    <row r="141" spans="2:14" ht="14.25" x14ac:dyDescent="0.2">
      <c r="B141" s="15"/>
      <c r="C141" s="14"/>
      <c r="D141" s="14" t="s">
        <v>63</v>
      </c>
      <c r="E141" s="14"/>
      <c r="F141" s="14"/>
      <c r="H141" s="150">
        <f>'option 3.3 limiting landfill'!H132</f>
        <v>4.2372390540296649</v>
      </c>
      <c r="I141" t="s">
        <v>2</v>
      </c>
      <c r="L141" t="s">
        <v>112</v>
      </c>
    </row>
    <row r="142" spans="2:14" ht="14.25" x14ac:dyDescent="0.2">
      <c r="B142" s="13"/>
      <c r="C142" s="14"/>
      <c r="D142" s="36" t="s">
        <v>76</v>
      </c>
      <c r="E142" s="36"/>
      <c r="F142" s="36"/>
      <c r="G142" s="37"/>
      <c r="H142" s="207">
        <f>'option 3.3 limiting landfill'!H133</f>
        <v>4.1280488678999632</v>
      </c>
      <c r="I142" s="37" t="s">
        <v>2</v>
      </c>
      <c r="L142" t="s">
        <v>113</v>
      </c>
      <c r="M142" s="34">
        <f>'option 3.3 limiting landfill'!M133</f>
        <v>84.589204090433412</v>
      </c>
      <c r="N142" t="s">
        <v>2</v>
      </c>
    </row>
    <row r="143" spans="2:14" ht="14.25" x14ac:dyDescent="0.2">
      <c r="B143" s="13"/>
      <c r="C143" s="14"/>
      <c r="D143" s="14" t="s">
        <v>113</v>
      </c>
      <c r="E143" s="14"/>
      <c r="F143" s="14"/>
      <c r="H143" s="150">
        <f>'option 3.3 limiting landfill'!H134</f>
        <v>3.4918836818207257</v>
      </c>
      <c r="I143" t="s">
        <v>2</v>
      </c>
      <c r="L143" t="s">
        <v>114</v>
      </c>
      <c r="M143" s="34">
        <f>'option 3.3 limiting landfill'!M134</f>
        <v>15.410795909566593</v>
      </c>
      <c r="N143" t="s">
        <v>2</v>
      </c>
    </row>
    <row r="144" spans="2:14" ht="14.25" x14ac:dyDescent="0.2">
      <c r="B144" s="13"/>
      <c r="C144" s="14"/>
      <c r="D144" s="14" t="s">
        <v>114</v>
      </c>
      <c r="E144" s="14"/>
      <c r="F144" s="14"/>
      <c r="H144" s="150">
        <f>'option 3.3 limiting landfill'!H135</f>
        <v>0.63616518607923755</v>
      </c>
      <c r="I144" t="s">
        <v>2</v>
      </c>
    </row>
    <row r="145" spans="2:9" ht="14.25" x14ac:dyDescent="0.2">
      <c r="B145" s="13"/>
      <c r="C145" s="14"/>
      <c r="D145" s="14" t="s">
        <v>65</v>
      </c>
      <c r="E145" s="14"/>
      <c r="F145" s="14"/>
      <c r="H145" s="150">
        <f>'option 3.3 limiting landfill'!H136</f>
        <v>7.4750323704561428</v>
      </c>
      <c r="I145" t="s">
        <v>2</v>
      </c>
    </row>
    <row r="146" spans="2:9" ht="14.25" x14ac:dyDescent="0.2">
      <c r="B146" s="13"/>
      <c r="C146" s="14"/>
      <c r="D146" s="14" t="s">
        <v>106</v>
      </c>
      <c r="E146" s="14"/>
      <c r="F146" s="14"/>
      <c r="H146" s="150">
        <f>'option 3.3 limiting landfill'!H137</f>
        <v>0.7320328104678786</v>
      </c>
      <c r="I146" t="s">
        <v>2</v>
      </c>
    </row>
    <row r="147" spans="2:9" ht="14.25" x14ac:dyDescent="0.2">
      <c r="B147" s="15"/>
      <c r="C147" s="14"/>
      <c r="D147" s="14" t="s">
        <v>82</v>
      </c>
      <c r="E147" s="14"/>
      <c r="F147" s="14"/>
      <c r="H147" s="151">
        <f>'option 3.3 limiting landfill'!H138</f>
        <v>0.36966750352363531</v>
      </c>
      <c r="I147" t="s">
        <v>2</v>
      </c>
    </row>
    <row r="148" spans="2:9" ht="14.25" x14ac:dyDescent="0.2">
      <c r="B148" s="13"/>
      <c r="C148" s="14"/>
      <c r="D148" s="14"/>
      <c r="E148" s="14"/>
      <c r="F148" s="14"/>
      <c r="H148" s="1">
        <f>SUM(H140:H147)-H142</f>
        <v>100.00000000000001</v>
      </c>
      <c r="I148" t="s">
        <v>2</v>
      </c>
    </row>
    <row r="149" spans="2:9" ht="14.25" x14ac:dyDescent="0.2">
      <c r="B149" s="13"/>
      <c r="C149" s="14"/>
      <c r="D149" s="14"/>
      <c r="E149" s="14"/>
      <c r="F149" s="14"/>
    </row>
    <row r="150" spans="2:9" ht="14.25" x14ac:dyDescent="0.2">
      <c r="B150" s="13" t="s">
        <v>7</v>
      </c>
      <c r="C150" s="14" t="s">
        <v>81</v>
      </c>
      <c r="D150" s="14" t="s">
        <v>62</v>
      </c>
      <c r="E150" s="14"/>
      <c r="F150" s="14"/>
      <c r="H150" s="149">
        <f>'option 3.3 limiting landfill'!H141</f>
        <v>76.266452509653249</v>
      </c>
      <c r="I150" t="s">
        <v>2</v>
      </c>
    </row>
    <row r="151" spans="2:9" ht="14.25" x14ac:dyDescent="0.2">
      <c r="B151" s="15"/>
      <c r="C151" s="14"/>
      <c r="D151" s="14" t="s">
        <v>63</v>
      </c>
      <c r="E151" s="14"/>
      <c r="F151" s="14"/>
      <c r="H151" s="150">
        <f>'option 3.3 limiting landfill'!H142</f>
        <v>0</v>
      </c>
      <c r="I151" t="s">
        <v>2</v>
      </c>
    </row>
    <row r="152" spans="2:9" ht="14.25" x14ac:dyDescent="0.2">
      <c r="B152" s="13"/>
      <c r="C152" s="14"/>
      <c r="D152" s="36" t="s">
        <v>76</v>
      </c>
      <c r="E152" s="36"/>
      <c r="F152" s="36"/>
      <c r="G152" s="37"/>
      <c r="H152" s="207">
        <f>'option 3.3 limiting landfill'!H143</f>
        <v>0.68158711500309332</v>
      </c>
      <c r="I152" s="37" t="s">
        <v>2</v>
      </c>
    </row>
    <row r="153" spans="2:9" ht="14.25" x14ac:dyDescent="0.2">
      <c r="B153" s="13"/>
      <c r="C153" s="14"/>
      <c r="D153" s="14" t="s">
        <v>113</v>
      </c>
      <c r="E153" s="14"/>
      <c r="F153" s="14"/>
      <c r="H153" s="150">
        <f>'option 3.3 limiting landfill'!H144</f>
        <v>0.57654911576406365</v>
      </c>
      <c r="I153" t="s">
        <v>2</v>
      </c>
    </row>
    <row r="154" spans="2:9" ht="14.25" x14ac:dyDescent="0.2">
      <c r="B154" s="13"/>
      <c r="C154" s="14"/>
      <c r="D154" s="14" t="s">
        <v>114</v>
      </c>
      <c r="E154" s="14"/>
      <c r="F154" s="14"/>
      <c r="H154" s="150">
        <f>'option 3.3 limiting landfill'!H145</f>
        <v>0.10503799923902965</v>
      </c>
      <c r="I154" t="s">
        <v>2</v>
      </c>
    </row>
    <row r="155" spans="2:9" ht="14.25" x14ac:dyDescent="0.2">
      <c r="B155" s="13"/>
      <c r="C155" s="14"/>
      <c r="D155" s="14" t="s">
        <v>65</v>
      </c>
      <c r="E155" s="14"/>
      <c r="F155" s="14"/>
      <c r="H155" s="150">
        <f>'option 3.3 limiting landfill'!H146</f>
        <v>8.5929065463644907</v>
      </c>
      <c r="I155" t="s">
        <v>2</v>
      </c>
    </row>
    <row r="156" spans="2:9" ht="14.25" x14ac:dyDescent="0.2">
      <c r="B156" s="13"/>
      <c r="C156" s="14"/>
      <c r="D156" s="14" t="s">
        <v>106</v>
      </c>
      <c r="E156" s="21"/>
      <c r="F156" s="21"/>
      <c r="H156" s="150">
        <f>'option 3.3 limiting landfill'!H147</f>
        <v>13.652331592648871</v>
      </c>
      <c r="I156" t="s">
        <v>2</v>
      </c>
    </row>
    <row r="157" spans="2:9" ht="14.25" x14ac:dyDescent="0.2">
      <c r="B157" s="15"/>
      <c r="C157" s="14"/>
      <c r="D157" s="14" t="s">
        <v>82</v>
      </c>
      <c r="H157" s="151">
        <f>'option 3.3 limiting landfill'!H148</f>
        <v>0.80672223633030016</v>
      </c>
      <c r="I157" t="s">
        <v>2</v>
      </c>
    </row>
    <row r="158" spans="2:9" x14ac:dyDescent="0.2">
      <c r="H158" s="1">
        <f>SUM(H150:H157)-H152</f>
        <v>100.00000000000001</v>
      </c>
      <c r="I158" t="s">
        <v>2</v>
      </c>
    </row>
    <row r="159" spans="2:9" x14ac:dyDescent="0.2">
      <c r="H159"/>
    </row>
    <row r="162" spans="2:17" x14ac:dyDescent="0.2">
      <c r="B162" s="84" t="s">
        <v>85</v>
      </c>
      <c r="C162" s="53"/>
      <c r="D162">
        <v>2012</v>
      </c>
      <c r="E162">
        <v>2020</v>
      </c>
      <c r="F162">
        <v>2025</v>
      </c>
      <c r="G162">
        <v>2030</v>
      </c>
    </row>
    <row r="163" spans="2:17" x14ac:dyDescent="0.2">
      <c r="I163" s="1" t="s">
        <v>237</v>
      </c>
    </row>
    <row r="164" spans="2:17" x14ac:dyDescent="0.2">
      <c r="B164" t="s">
        <v>86</v>
      </c>
      <c r="D164" s="2">
        <f>'option 3.2 modernised pack targ'!D162</f>
        <v>34.3115250426887</v>
      </c>
      <c r="E164" s="55">
        <f>'option 3.2 modernised pack targ'!E162</f>
        <v>45</v>
      </c>
      <c r="F164" s="55">
        <f>'option 3.2 modernised pack targ'!F162</f>
        <v>60</v>
      </c>
      <c r="G164" s="55">
        <f>'option 3.2 modernised pack targ'!G162</f>
        <v>60</v>
      </c>
    </row>
    <row r="165" spans="2:17" x14ac:dyDescent="0.2">
      <c r="B165" t="s">
        <v>87</v>
      </c>
      <c r="D165" s="2">
        <f>'option 3.2 modernised pack targ'!D163</f>
        <v>71.162589235423198</v>
      </c>
      <c r="E165" s="55">
        <f>'option 3.2 modernised pack targ'!E163</f>
        <v>70</v>
      </c>
      <c r="F165" s="55">
        <f>'option 3.2 modernised pack targ'!F163</f>
        <v>80</v>
      </c>
      <c r="G165" s="55">
        <f>'option 3.2 modernised pack targ'!G163</f>
        <v>90</v>
      </c>
    </row>
    <row r="166" spans="2:17" x14ac:dyDescent="0.2">
      <c r="B166" t="s">
        <v>88</v>
      </c>
      <c r="D166" s="2">
        <f>'option 3.2 modernised pack targ'!D164</f>
        <v>72.277569276209135</v>
      </c>
      <c r="E166" s="55"/>
      <c r="F166" s="55"/>
      <c r="G166" s="55"/>
    </row>
    <row r="167" spans="2:17" x14ac:dyDescent="0.2">
      <c r="B167" t="s">
        <v>110</v>
      </c>
      <c r="D167" s="2">
        <f>'option 3.2 modernised pack targ'!D165</f>
        <v>56.535148150433997</v>
      </c>
      <c r="E167" s="55">
        <f>'option 3.2 modernised pack targ'!E165</f>
        <v>85</v>
      </c>
      <c r="F167" s="55">
        <f>'option 3.2 modernised pack targ'!F165</f>
        <v>90</v>
      </c>
      <c r="G167" s="55">
        <f>'option 3.2 modernised pack targ'!G165</f>
        <v>90</v>
      </c>
    </row>
    <row r="168" spans="2:17" x14ac:dyDescent="0.2">
      <c r="B168" t="s">
        <v>111</v>
      </c>
      <c r="D168" s="2">
        <f>'option 3.2 modernised pack targ'!D166</f>
        <v>74.911593431091845</v>
      </c>
      <c r="E168" s="55">
        <f>'option 3.2 modernised pack targ'!E166</f>
        <v>70</v>
      </c>
      <c r="F168" s="55">
        <f>'option 3.2 modernised pack targ'!F166</f>
        <v>80</v>
      </c>
      <c r="G168" s="55">
        <f>'option 3.2 modernised pack targ'!G166</f>
        <v>90</v>
      </c>
    </row>
    <row r="169" spans="2:17" x14ac:dyDescent="0.2">
      <c r="B169" t="s">
        <v>89</v>
      </c>
      <c r="D169" s="2">
        <f>'option 3.2 modernised pack targ'!D167</f>
        <v>82.956538079896461</v>
      </c>
      <c r="E169" s="55">
        <f>'option 3.2 modernised pack targ'!E167</f>
        <v>85</v>
      </c>
      <c r="F169" s="55">
        <f>'option 3.2 modernised pack targ'!F167</f>
        <v>90</v>
      </c>
      <c r="G169" s="55">
        <f>'option 3.2 modernised pack targ'!G167</f>
        <v>90</v>
      </c>
    </row>
    <row r="170" spans="2:17" x14ac:dyDescent="0.2">
      <c r="B170" t="s">
        <v>104</v>
      </c>
      <c r="D170" s="2">
        <f>'option 3.2 modernised pack targ'!D168</f>
        <v>37.687432530831366</v>
      </c>
      <c r="E170" s="55">
        <f>'option 3.2 modernised pack targ'!E168</f>
        <v>50</v>
      </c>
      <c r="F170" s="55">
        <f>'option 3.2 modernised pack targ'!F168</f>
        <v>65</v>
      </c>
      <c r="G170" s="55">
        <f>'option 3.2 modernised pack targ'!G168</f>
        <v>80</v>
      </c>
    </row>
    <row r="172" spans="2:17" x14ac:dyDescent="0.2">
      <c r="B172" t="s">
        <v>210</v>
      </c>
      <c r="I172" s="79"/>
      <c r="J172" s="79"/>
      <c r="K172" s="79"/>
      <c r="L172" s="79"/>
      <c r="M172" s="79"/>
      <c r="N172" s="79"/>
      <c r="O172" s="79"/>
      <c r="P172" s="79"/>
      <c r="Q172" s="79"/>
    </row>
    <row r="173" spans="2:17" x14ac:dyDescent="0.2">
      <c r="I173" s="79"/>
      <c r="J173" s="79"/>
      <c r="K173" s="80"/>
      <c r="L173" s="79"/>
      <c r="M173" s="79"/>
      <c r="N173" s="79"/>
      <c r="O173" s="79"/>
      <c r="P173" s="79"/>
      <c r="Q173" s="79"/>
    </row>
    <row r="174" spans="2:17" x14ac:dyDescent="0.2">
      <c r="B174" t="s">
        <v>86</v>
      </c>
      <c r="D174" s="2">
        <f>100-D164</f>
        <v>65.6884749573113</v>
      </c>
      <c r="E174" s="232">
        <f>'option 3.2 modernised pack targ'!K172</f>
        <v>16.271461568041236</v>
      </c>
      <c r="F174" s="233">
        <f>'option 3.2 modernised pack targ'!O172</f>
        <v>39.106517504029995</v>
      </c>
      <c r="G174" s="234">
        <f>'option 3.2 modernised pack targ'!O172</f>
        <v>39.106517504029995</v>
      </c>
      <c r="I174" s="164"/>
      <c r="J174" s="164"/>
      <c r="K174" s="80"/>
      <c r="L174" s="164"/>
      <c r="M174" s="164"/>
      <c r="N174" s="79"/>
      <c r="O174" s="164"/>
      <c r="P174" s="164"/>
      <c r="Q174" s="79"/>
    </row>
    <row r="175" spans="2:17" x14ac:dyDescent="0.2">
      <c r="B175" t="s">
        <v>87</v>
      </c>
      <c r="D175" s="2">
        <f t="shared" ref="D175:D180" si="87">100-D165</f>
        <v>28.837410764576802</v>
      </c>
      <c r="E175" s="189">
        <f>'option 3.2 modernised pack targ'!K173</f>
        <v>0</v>
      </c>
      <c r="F175" s="164">
        <f>'option 3.2 modernised pack targ'!O173</f>
        <v>30.645645813085515</v>
      </c>
      <c r="G175" s="235">
        <f>'option 3.2 modernised pack targ'!O173</f>
        <v>30.645645813085515</v>
      </c>
      <c r="I175" s="164"/>
      <c r="J175" s="164"/>
      <c r="K175" s="80"/>
      <c r="L175" s="164"/>
      <c r="M175" s="164"/>
      <c r="N175" s="79"/>
      <c r="O175" s="164"/>
      <c r="P175" s="164"/>
      <c r="Q175" s="79"/>
    </row>
    <row r="176" spans="2:17" x14ac:dyDescent="0.2">
      <c r="B176" t="s">
        <v>88</v>
      </c>
      <c r="D176" s="2">
        <f t="shared" si="87"/>
        <v>27.722430723790865</v>
      </c>
      <c r="E176" s="189"/>
      <c r="F176" s="164"/>
      <c r="G176" s="235"/>
      <c r="I176" s="164"/>
      <c r="J176" s="164"/>
      <c r="K176" s="80"/>
      <c r="L176" s="164"/>
      <c r="M176" s="164"/>
      <c r="N176" s="79"/>
      <c r="O176" s="164"/>
      <c r="P176" s="164"/>
      <c r="Q176" s="79"/>
    </row>
    <row r="177" spans="1:25" s="4" customFormat="1" x14ac:dyDescent="0.2">
      <c r="A177"/>
      <c r="B177" t="s">
        <v>110</v>
      </c>
      <c r="C177"/>
      <c r="D177" s="2">
        <f t="shared" si="87"/>
        <v>43.464851849566003</v>
      </c>
      <c r="E177" s="189">
        <f>'option 3.2 modernised pack targ'!K175</f>
        <v>65.489356660145219</v>
      </c>
      <c r="F177" s="164">
        <f>'option 3.2 modernised pack targ'!O175</f>
        <v>76.992904440096808</v>
      </c>
      <c r="G177" s="235">
        <f>'option 3.2 modernised pack targ'!O175</f>
        <v>76.992904440096808</v>
      </c>
      <c r="H177" s="1"/>
      <c r="I177" s="164"/>
      <c r="J177" s="164"/>
      <c r="K177" s="80"/>
      <c r="L177" s="164"/>
      <c r="M177" s="164"/>
      <c r="N177" s="79"/>
      <c r="O177" s="164"/>
      <c r="P177" s="164"/>
      <c r="Q177" s="79"/>
      <c r="R177" s="1"/>
      <c r="S177"/>
      <c r="T177"/>
      <c r="U177"/>
      <c r="V177"/>
      <c r="W177"/>
      <c r="X177"/>
      <c r="Y177"/>
    </row>
    <row r="178" spans="1:25" x14ac:dyDescent="0.2">
      <c r="B178" t="s">
        <v>111</v>
      </c>
      <c r="D178" s="2">
        <f t="shared" si="87"/>
        <v>25.088406568908155</v>
      </c>
      <c r="E178" s="189">
        <f>'option 3.2 modernised pack targ'!K176</f>
        <v>0</v>
      </c>
      <c r="F178" s="164">
        <f>'option 3.2 modernised pack targ'!O176</f>
        <v>20.281904133418234</v>
      </c>
      <c r="G178" s="235">
        <f>'option 3.2 modernised pack targ'!O176</f>
        <v>20.281904133418234</v>
      </c>
      <c r="I178" s="164"/>
      <c r="J178" s="164"/>
      <c r="K178" s="80"/>
      <c r="L178" s="164"/>
      <c r="M178" s="164"/>
      <c r="N178" s="79"/>
      <c r="O178" s="164"/>
      <c r="P178" s="164"/>
      <c r="Q178" s="79"/>
    </row>
    <row r="179" spans="1:25" x14ac:dyDescent="0.2">
      <c r="B179" t="s">
        <v>89</v>
      </c>
      <c r="D179" s="2">
        <f t="shared" si="87"/>
        <v>17.043461920103539</v>
      </c>
      <c r="E179" s="189">
        <f>'option 3.2 modernised pack targ'!K177</f>
        <v>11.989711536792784</v>
      </c>
      <c r="F179" s="164">
        <f>'option 3.2 modernised pack targ'!O177</f>
        <v>41.326474357861855</v>
      </c>
      <c r="G179" s="235">
        <f>'option 3.2 modernised pack targ'!O177</f>
        <v>41.326474357861855</v>
      </c>
      <c r="I179" s="164"/>
      <c r="J179" s="164"/>
      <c r="K179" s="80"/>
      <c r="L179" s="164"/>
      <c r="M179" s="164"/>
      <c r="N179" s="79"/>
      <c r="O179" s="164"/>
      <c r="P179" s="164"/>
      <c r="Q179" s="79"/>
    </row>
    <row r="180" spans="1:25" x14ac:dyDescent="0.2">
      <c r="B180" t="s">
        <v>104</v>
      </c>
      <c r="D180" s="2">
        <f t="shared" si="87"/>
        <v>62.312567469168634</v>
      </c>
      <c r="E180" s="236">
        <f>'option 3.2 modernised pack targ'!K178</f>
        <v>19.759364714446594</v>
      </c>
      <c r="F180" s="237">
        <f>'option 3.2 modernised pack targ'!O178</f>
        <v>43.831555300112619</v>
      </c>
      <c r="G180" s="238">
        <f>'option 3.2 modernised pack targ'!O178</f>
        <v>43.831555300112619</v>
      </c>
      <c r="I180" s="164"/>
      <c r="J180" s="164"/>
      <c r="K180" s="80"/>
      <c r="L180" s="164"/>
      <c r="M180" s="164"/>
      <c r="N180" s="79"/>
      <c r="O180" s="164"/>
      <c r="P180" s="164"/>
      <c r="Q180" s="79"/>
    </row>
    <row r="181" spans="1:25" x14ac:dyDescent="0.2">
      <c r="Y181" s="4"/>
    </row>
    <row r="183" spans="1:25" x14ac:dyDescent="0.2">
      <c r="B183" s="84" t="s">
        <v>92</v>
      </c>
      <c r="C183" s="53"/>
    </row>
    <row r="184" spans="1:25" s="4" customFormat="1" x14ac:dyDescent="0.2">
      <c r="A184"/>
      <c r="B184" t="str">
        <f>'option 3.3 limiting landfill'!B174</f>
        <v>as in option 1</v>
      </c>
      <c r="C184"/>
      <c r="D184"/>
      <c r="E184"/>
      <c r="F184"/>
      <c r="G184"/>
      <c r="H184" s="1"/>
      <c r="I184"/>
      <c r="J184"/>
      <c r="K184"/>
      <c r="L184"/>
      <c r="M184"/>
      <c r="N184"/>
      <c r="O184"/>
      <c r="P184"/>
      <c r="Q184"/>
      <c r="R184" s="1"/>
      <c r="S184"/>
      <c r="T184"/>
      <c r="U184"/>
      <c r="V184"/>
      <c r="W184"/>
      <c r="X184"/>
      <c r="Y184"/>
    </row>
    <row r="185" spans="1:25" ht="14.25" x14ac:dyDescent="0.2">
      <c r="B185" s="12" t="s">
        <v>93</v>
      </c>
      <c r="C185" s="12" t="s">
        <v>69</v>
      </c>
      <c r="D185" s="12" t="s">
        <v>70</v>
      </c>
      <c r="E185" s="12" t="s">
        <v>73</v>
      </c>
    </row>
    <row r="186" spans="1:25" ht="14.25" x14ac:dyDescent="0.2">
      <c r="B186" s="14" t="s">
        <v>63</v>
      </c>
      <c r="C186" s="13">
        <f>'option 3.3 limiting landfill'!C176</f>
        <v>219</v>
      </c>
      <c r="D186" s="14" t="s">
        <v>35</v>
      </c>
      <c r="E186" s="14" t="s">
        <v>34</v>
      </c>
      <c r="G186" s="20" t="s">
        <v>62</v>
      </c>
      <c r="H186" s="1">
        <f>C190/C192*100</f>
        <v>43.469327854417379</v>
      </c>
      <c r="I186" s="21" t="s">
        <v>2</v>
      </c>
    </row>
    <row r="187" spans="1:25" ht="14.25" x14ac:dyDescent="0.2">
      <c r="B187" s="14" t="s">
        <v>64</v>
      </c>
      <c r="C187" s="13">
        <f>'option 3.3 limiting landfill'!C177</f>
        <v>1062</v>
      </c>
      <c r="D187" s="14" t="s">
        <v>35</v>
      </c>
      <c r="E187" s="14" t="s">
        <v>34</v>
      </c>
      <c r="G187" s="20" t="s">
        <v>63</v>
      </c>
      <c r="H187" s="1">
        <f>C186/C192*100</f>
        <v>2.1426474904608162</v>
      </c>
      <c r="I187" s="21" t="s">
        <v>2</v>
      </c>
    </row>
    <row r="188" spans="1:25" ht="14.25" x14ac:dyDescent="0.2">
      <c r="B188" s="14" t="s">
        <v>82</v>
      </c>
      <c r="C188" s="13">
        <f>'option 3.3 limiting landfill'!C178</f>
        <v>1000</v>
      </c>
      <c r="D188" s="14" t="s">
        <v>35</v>
      </c>
      <c r="E188" s="14" t="s">
        <v>34</v>
      </c>
      <c r="G188" s="20" t="s">
        <v>76</v>
      </c>
      <c r="H188" s="1">
        <f>C187/C192*100</f>
        <v>10.390372761960668</v>
      </c>
      <c r="I188" s="21" t="s">
        <v>2</v>
      </c>
      <c r="Y188" s="4"/>
    </row>
    <row r="189" spans="1:25" ht="14.25" x14ac:dyDescent="0.2">
      <c r="B189" s="14" t="s">
        <v>65</v>
      </c>
      <c r="C189" s="13">
        <f>'option 3.3 limiting landfill'!C179</f>
        <v>3268</v>
      </c>
      <c r="D189" s="14" t="s">
        <v>35</v>
      </c>
      <c r="E189" s="14" t="s">
        <v>34</v>
      </c>
      <c r="G189" s="21" t="s">
        <v>65</v>
      </c>
      <c r="H189" s="1">
        <f>C189/C192*100</f>
        <v>31.973388122492906</v>
      </c>
      <c r="I189" s="21" t="s">
        <v>2</v>
      </c>
    </row>
    <row r="190" spans="1:25" ht="14.25" x14ac:dyDescent="0.2">
      <c r="B190" s="14" t="s">
        <v>94</v>
      </c>
      <c r="C190" s="13">
        <f>'option 3.3 limiting landfill'!C180</f>
        <v>4443</v>
      </c>
      <c r="D190" s="14" t="s">
        <v>35</v>
      </c>
      <c r="E190" s="14" t="s">
        <v>34</v>
      </c>
      <c r="G190" s="21" t="s">
        <v>106</v>
      </c>
      <c r="H190" s="1">
        <f>C191/C192*100</f>
        <v>2.2404852754133646</v>
      </c>
      <c r="I190" s="21" t="s">
        <v>2</v>
      </c>
    </row>
    <row r="191" spans="1:25" s="4" customFormat="1" ht="14.25" x14ac:dyDescent="0.2">
      <c r="A191"/>
      <c r="B191" s="14" t="s">
        <v>106</v>
      </c>
      <c r="C191" s="13">
        <f>'option 3.3 limiting landfill'!C181</f>
        <v>229</v>
      </c>
      <c r="D191" s="14" t="s">
        <v>35</v>
      </c>
      <c r="E191" s="14" t="s">
        <v>34</v>
      </c>
      <c r="F191"/>
      <c r="G191" s="21" t="s">
        <v>82</v>
      </c>
      <c r="H191" s="1">
        <f>C188/C192*100</f>
        <v>9.7837784952548681</v>
      </c>
      <c r="I191" s="21" t="s">
        <v>2</v>
      </c>
      <c r="J191"/>
      <c r="K191"/>
      <c r="L191"/>
      <c r="M191"/>
      <c r="N191"/>
      <c r="O191"/>
      <c r="P191"/>
      <c r="Q191"/>
      <c r="R191" s="1"/>
      <c r="S191"/>
      <c r="T191"/>
      <c r="U191"/>
      <c r="V191"/>
      <c r="Y191"/>
    </row>
    <row r="192" spans="1:25" ht="14.25" x14ac:dyDescent="0.2">
      <c r="A192" s="4"/>
      <c r="B192" s="22"/>
      <c r="C192" s="15">
        <f>SUM(C186:C191)</f>
        <v>10221</v>
      </c>
      <c r="D192" s="22"/>
      <c r="E192" s="22"/>
      <c r="F192" s="4"/>
      <c r="G192" s="4"/>
      <c r="H192" s="16">
        <f>SUM(H186:H191)</f>
        <v>100</v>
      </c>
      <c r="I192" s="4"/>
      <c r="J192" s="4"/>
      <c r="K192" s="4"/>
      <c r="L192" s="4"/>
      <c r="M192" s="4"/>
      <c r="N192" s="4"/>
      <c r="O192" s="4"/>
    </row>
    <row r="193" spans="1:25" ht="14.25" x14ac:dyDescent="0.2">
      <c r="B193" s="14" t="s">
        <v>63</v>
      </c>
      <c r="C193" s="13">
        <f>'option 3.3 limiting landfill'!C183</f>
        <v>24</v>
      </c>
      <c r="D193" s="14" t="s">
        <v>36</v>
      </c>
      <c r="E193" s="14" t="s">
        <v>34</v>
      </c>
      <c r="G193" s="20" t="s">
        <v>62</v>
      </c>
      <c r="H193" s="1">
        <f>C197/C199*100</f>
        <v>40.438512869399432</v>
      </c>
      <c r="I193" s="21" t="s">
        <v>2</v>
      </c>
      <c r="U193" s="4"/>
      <c r="V193" s="4"/>
    </row>
    <row r="194" spans="1:25" ht="14.25" x14ac:dyDescent="0.2">
      <c r="B194" s="14" t="s">
        <v>64</v>
      </c>
      <c r="C194" s="13">
        <f>'option 3.3 limiting landfill'!C184</f>
        <v>474</v>
      </c>
      <c r="D194" s="14" t="s">
        <v>36</v>
      </c>
      <c r="E194" s="14" t="s">
        <v>34</v>
      </c>
      <c r="G194" s="20" t="s">
        <v>63</v>
      </c>
      <c r="H194" s="1">
        <f>C193/C199*100</f>
        <v>0.45757864632983797</v>
      </c>
      <c r="I194" s="21" t="s">
        <v>2</v>
      </c>
      <c r="S194" s="4"/>
      <c r="T194" s="4"/>
    </row>
    <row r="195" spans="1:25" ht="14.25" x14ac:dyDescent="0.2">
      <c r="B195" s="14" t="s">
        <v>82</v>
      </c>
      <c r="C195" s="13">
        <f>'option 3.3 limiting landfill'!C185</f>
        <v>171</v>
      </c>
      <c r="D195" s="14" t="s">
        <v>36</v>
      </c>
      <c r="E195" s="14" t="s">
        <v>34</v>
      </c>
      <c r="G195" s="20" t="s">
        <v>76</v>
      </c>
      <c r="H195" s="1">
        <f>C194/C199*100</f>
        <v>9.0371782650142993</v>
      </c>
      <c r="I195" s="21" t="s">
        <v>2</v>
      </c>
      <c r="Y195" s="4"/>
    </row>
    <row r="196" spans="1:25" ht="14.25" x14ac:dyDescent="0.2">
      <c r="B196" s="14" t="s">
        <v>65</v>
      </c>
      <c r="C196" s="13">
        <f>'option 3.3 limiting landfill'!C186</f>
        <v>2386</v>
      </c>
      <c r="D196" s="14" t="s">
        <v>36</v>
      </c>
      <c r="E196" s="14" t="s">
        <v>34</v>
      </c>
      <c r="G196" s="21" t="s">
        <v>65</v>
      </c>
      <c r="H196" s="1">
        <f>C196/C199*100</f>
        <v>45.490943755958057</v>
      </c>
      <c r="I196" s="21" t="s">
        <v>2</v>
      </c>
    </row>
    <row r="197" spans="1:25" ht="14.25" x14ac:dyDescent="0.2">
      <c r="B197" s="14" t="s">
        <v>94</v>
      </c>
      <c r="C197" s="13">
        <f>'option 3.3 limiting landfill'!C187</f>
        <v>2121</v>
      </c>
      <c r="D197" s="14" t="s">
        <v>36</v>
      </c>
      <c r="E197" s="14" t="s">
        <v>34</v>
      </c>
      <c r="G197" s="21" t="s">
        <v>106</v>
      </c>
      <c r="H197" s="1">
        <f>C198/C199*100</f>
        <v>1.3155386081982841</v>
      </c>
      <c r="I197" s="21" t="s">
        <v>2</v>
      </c>
    </row>
    <row r="198" spans="1:25" s="4" customFormat="1" ht="14.25" x14ac:dyDescent="0.2">
      <c r="A198"/>
      <c r="B198" s="14" t="s">
        <v>106</v>
      </c>
      <c r="C198" s="13">
        <f>'option 3.3 limiting landfill'!C188</f>
        <v>69</v>
      </c>
      <c r="D198" s="14" t="s">
        <v>36</v>
      </c>
      <c r="E198" s="14" t="s">
        <v>34</v>
      </c>
      <c r="F198"/>
      <c r="G198" s="21" t="s">
        <v>82</v>
      </c>
      <c r="H198" s="1">
        <f>C195/C199*100</f>
        <v>3.2602478551000948</v>
      </c>
      <c r="I198" s="21" t="s">
        <v>2</v>
      </c>
      <c r="J198"/>
      <c r="K198"/>
      <c r="L198"/>
      <c r="M198"/>
      <c r="N198"/>
      <c r="O198"/>
      <c r="P198"/>
      <c r="Q198"/>
      <c r="R198" s="1"/>
      <c r="S198"/>
      <c r="T198"/>
      <c r="U198"/>
      <c r="V198"/>
      <c r="Y198"/>
    </row>
    <row r="199" spans="1:25" ht="14.25" x14ac:dyDescent="0.2">
      <c r="A199" s="4"/>
      <c r="B199" s="22"/>
      <c r="C199" s="15">
        <f>SUM(C193:C198)</f>
        <v>5245</v>
      </c>
      <c r="D199" s="22"/>
      <c r="E199" s="22"/>
      <c r="F199" s="4"/>
      <c r="G199" s="4"/>
      <c r="H199" s="16">
        <f>SUM(H193:H198)</f>
        <v>99.999999999999986</v>
      </c>
      <c r="I199" s="4"/>
      <c r="J199" s="4"/>
      <c r="K199" s="4"/>
      <c r="L199" s="4"/>
      <c r="M199" s="4"/>
      <c r="N199" s="4"/>
      <c r="O199" s="4"/>
    </row>
    <row r="200" spans="1:25" ht="14.25" x14ac:dyDescent="0.2">
      <c r="B200" s="14" t="s">
        <v>63</v>
      </c>
      <c r="C200" s="13">
        <f>'option 3.3 limiting landfill'!C190</f>
        <v>923</v>
      </c>
      <c r="D200" s="14" t="s">
        <v>37</v>
      </c>
      <c r="E200" s="14" t="s">
        <v>34</v>
      </c>
      <c r="G200" s="20" t="s">
        <v>62</v>
      </c>
      <c r="H200" s="1">
        <f>C204/C206*100</f>
        <v>61.523569023569024</v>
      </c>
      <c r="I200" s="21" t="s">
        <v>2</v>
      </c>
      <c r="U200" s="4"/>
      <c r="V200" s="4"/>
    </row>
    <row r="201" spans="1:25" ht="14.25" x14ac:dyDescent="0.2">
      <c r="B201" s="14" t="s">
        <v>64</v>
      </c>
      <c r="C201" s="13">
        <f>'option 3.3 limiting landfill'!C191</f>
        <v>523</v>
      </c>
      <c r="D201" s="14" t="s">
        <v>37</v>
      </c>
      <c r="E201" s="14" t="s">
        <v>34</v>
      </c>
      <c r="G201" s="20" t="s">
        <v>63</v>
      </c>
      <c r="H201" s="1">
        <f>C200/C206*100</f>
        <v>3.8846801346801345</v>
      </c>
      <c r="I201" s="21" t="s">
        <v>2</v>
      </c>
      <c r="S201" s="4"/>
      <c r="T201" s="4"/>
    </row>
    <row r="202" spans="1:25" ht="14.25" x14ac:dyDescent="0.2">
      <c r="B202" s="14" t="s">
        <v>82</v>
      </c>
      <c r="C202" s="13">
        <f>'option 3.3 limiting landfill'!C192</f>
        <v>2092</v>
      </c>
      <c r="D202" s="14" t="s">
        <v>37</v>
      </c>
      <c r="E202" s="14" t="s">
        <v>34</v>
      </c>
      <c r="G202" s="20" t="s">
        <v>76</v>
      </c>
      <c r="H202" s="1">
        <f>C201/C206*100</f>
        <v>2.2011784511784511</v>
      </c>
      <c r="I202" s="21" t="s">
        <v>2</v>
      </c>
      <c r="Y202" s="4"/>
    </row>
    <row r="203" spans="1:25" ht="14.25" x14ac:dyDescent="0.2">
      <c r="B203" s="14" t="s">
        <v>65</v>
      </c>
      <c r="C203" s="13">
        <f>'option 3.3 limiting landfill'!C193</f>
        <v>5566</v>
      </c>
      <c r="D203" s="14" t="s">
        <v>37</v>
      </c>
      <c r="E203" s="14" t="s">
        <v>34</v>
      </c>
      <c r="G203" s="21" t="s">
        <v>65</v>
      </c>
      <c r="H203" s="1">
        <f>C203/C206*100</f>
        <v>23.425925925925924</v>
      </c>
      <c r="I203" s="21" t="s">
        <v>2</v>
      </c>
    </row>
    <row r="204" spans="1:25" ht="14.25" x14ac:dyDescent="0.2">
      <c r="B204" s="14" t="s">
        <v>94</v>
      </c>
      <c r="C204" s="13">
        <f>'option 3.3 limiting landfill'!C194</f>
        <v>14618</v>
      </c>
      <c r="D204" s="14" t="s">
        <v>37</v>
      </c>
      <c r="E204" s="14" t="s">
        <v>34</v>
      </c>
      <c r="G204" s="21" t="s">
        <v>106</v>
      </c>
      <c r="H204" s="1">
        <f>C205/C206*100</f>
        <v>0.15993265993265993</v>
      </c>
      <c r="I204" s="21" t="s">
        <v>2</v>
      </c>
      <c r="P204" s="4"/>
      <c r="Q204" s="4"/>
      <c r="R204" s="16"/>
    </row>
    <row r="205" spans="1:25" ht="14.25" x14ac:dyDescent="0.2">
      <c r="B205" s="14" t="s">
        <v>106</v>
      </c>
      <c r="C205" s="13">
        <f>'option 3.3 limiting landfill'!C195</f>
        <v>38</v>
      </c>
      <c r="D205" s="14" t="s">
        <v>37</v>
      </c>
      <c r="E205" s="14" t="s">
        <v>34</v>
      </c>
      <c r="G205" s="21" t="s">
        <v>82</v>
      </c>
      <c r="H205" s="1">
        <f>C202/C206*100</f>
        <v>8.8047138047138045</v>
      </c>
      <c r="I205" s="21" t="s">
        <v>2</v>
      </c>
      <c r="W205" s="4"/>
      <c r="X205" s="4"/>
    </row>
    <row r="206" spans="1:25" ht="14.25" x14ac:dyDescent="0.2">
      <c r="A206" s="4"/>
      <c r="B206" s="22"/>
      <c r="C206" s="15">
        <f>SUM(C200:C205)</f>
        <v>23760</v>
      </c>
      <c r="D206" s="22"/>
      <c r="E206" s="22"/>
      <c r="F206" s="4"/>
      <c r="G206" s="4"/>
      <c r="H206" s="16">
        <f>SUM(H200:H205)</f>
        <v>100</v>
      </c>
      <c r="I206" s="4"/>
      <c r="J206" s="4"/>
      <c r="K206" s="4"/>
      <c r="L206" s="4"/>
      <c r="M206" s="4"/>
      <c r="N206" s="4"/>
      <c r="O206" s="4"/>
    </row>
    <row r="207" spans="1:25" ht="14.25" x14ac:dyDescent="0.2">
      <c r="B207" s="14" t="s">
        <v>63</v>
      </c>
      <c r="C207" s="13">
        <f>'option 3.3 limiting landfill'!C197</f>
        <v>171</v>
      </c>
      <c r="D207" s="14" t="s">
        <v>31</v>
      </c>
      <c r="E207" s="14" t="s">
        <v>34</v>
      </c>
      <c r="G207" s="20" t="s">
        <v>62</v>
      </c>
      <c r="H207" s="1">
        <f>C211/C213*100</f>
        <v>66.364394413174892</v>
      </c>
      <c r="I207" s="21" t="s">
        <v>2</v>
      </c>
      <c r="U207" s="4"/>
      <c r="V207" s="4"/>
    </row>
    <row r="208" spans="1:25" ht="14.25" x14ac:dyDescent="0.2">
      <c r="B208" s="14" t="s">
        <v>64</v>
      </c>
      <c r="C208" s="13">
        <f>'option 3.3 limiting landfill'!C198</f>
        <v>726</v>
      </c>
      <c r="D208" s="14" t="s">
        <v>31</v>
      </c>
      <c r="E208" s="14" t="s">
        <v>34</v>
      </c>
      <c r="G208" s="20" t="s">
        <v>63</v>
      </c>
      <c r="H208" s="1">
        <f>C207/C213*100</f>
        <v>0.59412132582864297</v>
      </c>
      <c r="I208" s="21" t="s">
        <v>2</v>
      </c>
      <c r="S208" s="4"/>
      <c r="T208" s="4"/>
    </row>
    <row r="209" spans="1:24" ht="14.25" x14ac:dyDescent="0.2">
      <c r="B209" s="14" t="s">
        <v>82</v>
      </c>
      <c r="C209" s="13">
        <f>'option 3.3 limiting landfill'!C199</f>
        <v>6380</v>
      </c>
      <c r="D209" s="14" t="s">
        <v>31</v>
      </c>
      <c r="E209" s="14" t="s">
        <v>34</v>
      </c>
      <c r="G209" s="20" t="s">
        <v>76</v>
      </c>
      <c r="H209" s="1">
        <f>C208/C213*100</f>
        <v>2.5224098394830103</v>
      </c>
      <c r="I209" s="21" t="s">
        <v>2</v>
      </c>
    </row>
    <row r="210" spans="1:24" ht="14.25" x14ac:dyDescent="0.2">
      <c r="B210" s="14" t="s">
        <v>65</v>
      </c>
      <c r="C210" s="13">
        <f>'option 3.3 limiting landfill'!C200</f>
        <v>2092</v>
      </c>
      <c r="D210" s="14" t="s">
        <v>31</v>
      </c>
      <c r="E210" s="14" t="s">
        <v>34</v>
      </c>
      <c r="G210" s="21" t="s">
        <v>65</v>
      </c>
      <c r="H210" s="1">
        <f>C210/C213*100</f>
        <v>7.2684316586755617</v>
      </c>
      <c r="I210" s="21" t="s">
        <v>2</v>
      </c>
    </row>
    <row r="211" spans="1:24" ht="14.25" x14ac:dyDescent="0.2">
      <c r="B211" s="14" t="s">
        <v>94</v>
      </c>
      <c r="C211" s="13">
        <f>'option 3.3 limiting landfill'!C201</f>
        <v>19101</v>
      </c>
      <c r="D211" s="14" t="s">
        <v>31</v>
      </c>
      <c r="E211" s="14" t="s">
        <v>34</v>
      </c>
      <c r="G211" s="21" t="s">
        <v>106</v>
      </c>
      <c r="H211" s="1">
        <f>C212/C213*100</f>
        <v>1.084010840108401</v>
      </c>
      <c r="I211" s="21" t="s">
        <v>2</v>
      </c>
      <c r="P211" s="4"/>
      <c r="Q211" s="4"/>
      <c r="R211" s="16"/>
    </row>
    <row r="212" spans="1:24" ht="14.25" x14ac:dyDescent="0.2">
      <c r="B212" s="21" t="s">
        <v>106</v>
      </c>
      <c r="C212" s="13">
        <f>'option 3.3 limiting landfill'!C202</f>
        <v>312</v>
      </c>
      <c r="D212" s="21" t="s">
        <v>31</v>
      </c>
      <c r="E212" s="21" t="s">
        <v>34</v>
      </c>
      <c r="G212" s="21" t="s">
        <v>82</v>
      </c>
      <c r="H212" s="1">
        <f>C209/C213*100</f>
        <v>22.166631922729486</v>
      </c>
      <c r="I212" s="21" t="s">
        <v>2</v>
      </c>
      <c r="W212" s="4"/>
      <c r="X212" s="4"/>
    </row>
    <row r="213" spans="1:24" ht="14.25" x14ac:dyDescent="0.2">
      <c r="A213" s="4"/>
      <c r="B213" s="4"/>
      <c r="C213" s="15">
        <f>SUM(C207:C212)</f>
        <v>28782</v>
      </c>
      <c r="D213" s="4"/>
      <c r="E213" s="4"/>
      <c r="F213" s="4"/>
      <c r="G213" s="4"/>
      <c r="H213" s="16">
        <f>SUM(H207:H212)</f>
        <v>100</v>
      </c>
      <c r="I213" s="4"/>
      <c r="J213" s="4"/>
      <c r="K213" s="4"/>
      <c r="L213" s="4"/>
      <c r="M213" s="4"/>
      <c r="N213" s="4"/>
      <c r="O213" s="4"/>
    </row>
    <row r="214" spans="1:24" x14ac:dyDescent="0.2">
      <c r="U214" s="4"/>
      <c r="V214" s="4"/>
    </row>
    <row r="215" spans="1:24" x14ac:dyDescent="0.2">
      <c r="F215" t="s">
        <v>13</v>
      </c>
      <c r="G215" t="s">
        <v>62</v>
      </c>
      <c r="H215" s="126">
        <f>'option 3.3 limiting landfill'!H205</f>
        <v>61.076597781504347</v>
      </c>
      <c r="I215" t="s">
        <v>2</v>
      </c>
      <c r="S215" s="4"/>
      <c r="T215" s="4"/>
    </row>
    <row r="216" spans="1:24" x14ac:dyDescent="0.2">
      <c r="G216" t="s">
        <v>63</v>
      </c>
      <c r="H216" s="127">
        <f>'option 3.3 limiting landfill'!H206</f>
        <v>2.9535731425166882</v>
      </c>
      <c r="I216" t="s">
        <v>2</v>
      </c>
    </row>
    <row r="217" spans="1:24" x14ac:dyDescent="0.2">
      <c r="G217" s="37" t="s">
        <v>76</v>
      </c>
      <c r="H217" s="38">
        <f>'option 3.3 limiting landfill'!H207</f>
        <v>2.895569760355964</v>
      </c>
      <c r="I217" s="37" t="s">
        <v>2</v>
      </c>
    </row>
    <row r="218" spans="1:24" x14ac:dyDescent="0.2">
      <c r="G218" t="s">
        <v>113</v>
      </c>
      <c r="H218" s="127">
        <f>'option 3.3 limiting landfill'!H208</f>
        <v>2.4493394141683797</v>
      </c>
      <c r="I218" t="s">
        <v>2</v>
      </c>
      <c r="P218" s="4"/>
      <c r="Q218" s="4"/>
      <c r="R218" s="16"/>
    </row>
    <row r="219" spans="1:24" x14ac:dyDescent="0.2">
      <c r="G219" t="s">
        <v>114</v>
      </c>
      <c r="H219" s="200">
        <f>'option 3.3 limiting landfill'!H209</f>
        <v>0.44623034618758411</v>
      </c>
      <c r="I219" t="s">
        <v>2</v>
      </c>
    </row>
    <row r="220" spans="1:24" x14ac:dyDescent="0.2">
      <c r="G220" t="s">
        <v>65</v>
      </c>
      <c r="H220" s="127">
        <f>'option 3.3 limiting landfill'!H210</f>
        <v>20.846115369684046</v>
      </c>
      <c r="I220" t="s">
        <v>2</v>
      </c>
    </row>
    <row r="221" spans="1:24" x14ac:dyDescent="0.2">
      <c r="G221" t="s">
        <v>106</v>
      </c>
      <c r="H221" s="127">
        <f>'option 3.3 limiting landfill'!H211</f>
        <v>0.51026444835174956</v>
      </c>
      <c r="I221" t="s">
        <v>2</v>
      </c>
    </row>
    <row r="222" spans="1:24" x14ac:dyDescent="0.2">
      <c r="G222" t="s">
        <v>82</v>
      </c>
      <c r="H222" s="128">
        <f>'option 3.3 limiting landfill'!H212</f>
        <v>11.717879497587189</v>
      </c>
      <c r="I222" t="s">
        <v>2</v>
      </c>
    </row>
    <row r="224" spans="1:24" x14ac:dyDescent="0.2">
      <c r="H224" s="1">
        <f>SUM(H215:H222)-H217</f>
        <v>99.999999999999986</v>
      </c>
    </row>
    <row r="225" spans="2:18" x14ac:dyDescent="0.2">
      <c r="P225" s="4"/>
      <c r="Q225" s="4"/>
      <c r="R225" s="16"/>
    </row>
    <row r="227" spans="2:18" x14ac:dyDescent="0.2">
      <c r="B227" s="84" t="str">
        <f>'option 3.3 limiting landfill'!B292</f>
        <v>reduction due to landfill diversion</v>
      </c>
      <c r="C227" s="84"/>
      <c r="D227" s="84"/>
    </row>
    <row r="228" spans="2:18" x14ac:dyDescent="0.2">
      <c r="B228" t="s">
        <v>239</v>
      </c>
    </row>
    <row r="230" spans="2:18" x14ac:dyDescent="0.2">
      <c r="B230" s="193"/>
      <c r="C230" s="194"/>
      <c r="D230" s="194" t="str">
        <f>'option 3.3 limiting landfill'!O307</f>
        <v>reduction factor to be used</v>
      </c>
      <c r="E230" s="194"/>
      <c r="F230" s="195"/>
      <c r="G230" s="129"/>
      <c r="H230" s="171"/>
      <c r="I230" s="129"/>
      <c r="J230" s="129"/>
      <c r="K230" s="129"/>
      <c r="L230" s="129"/>
    </row>
    <row r="231" spans="2:18" x14ac:dyDescent="0.2">
      <c r="B231" s="183"/>
      <c r="C231" s="79"/>
      <c r="D231" s="79">
        <f>'option 3.3 limiting landfill'!O308</f>
        <v>2020</v>
      </c>
      <c r="E231" s="79">
        <f>'option 3.3 limiting landfill'!P308</f>
        <v>2025</v>
      </c>
      <c r="F231" s="184">
        <f>'option 3.3 limiting landfill'!Q308</f>
        <v>2030</v>
      </c>
      <c r="G231" s="129"/>
      <c r="H231" s="171"/>
      <c r="I231" s="129"/>
      <c r="J231" s="129"/>
      <c r="K231" s="170"/>
      <c r="L231" s="129"/>
    </row>
    <row r="232" spans="2:18" x14ac:dyDescent="0.2">
      <c r="B232" s="183"/>
      <c r="C232" s="81" t="str">
        <f>'option 3.3 limiting landfill'!N309</f>
        <v>MSW plastics</v>
      </c>
      <c r="D232" s="79">
        <f>'option 3.3 limiting landfill'!O309</f>
        <v>0</v>
      </c>
      <c r="E232" s="79">
        <f>'option 3.3 limiting landfill'!P309</f>
        <v>-1.1707738385384444E-2</v>
      </c>
      <c r="F232" s="184">
        <f>'option 3.3 limiting landfill'!Q309</f>
        <v>-1.897840370057971E-2</v>
      </c>
      <c r="G232" s="171"/>
      <c r="H232" s="171"/>
      <c r="I232" s="129"/>
      <c r="J232" s="129"/>
      <c r="K232" s="129"/>
      <c r="L232" s="129"/>
    </row>
    <row r="233" spans="2:18" x14ac:dyDescent="0.2">
      <c r="B233" s="183"/>
      <c r="C233" s="81" t="str">
        <f>'option 3.3 limiting landfill'!N310</f>
        <v>MSW glass</v>
      </c>
      <c r="D233" s="79">
        <f>'option 3.3 limiting landfill'!O310</f>
        <v>0</v>
      </c>
      <c r="E233" s="79">
        <f>'option 3.3 limiting landfill'!P310</f>
        <v>-1.1707738385384444E-2</v>
      </c>
      <c r="F233" s="184">
        <f>'option 3.3 limiting landfill'!Q310</f>
        <v>-1.897840370057971E-2</v>
      </c>
      <c r="G233" s="170"/>
      <c r="H233" s="170"/>
      <c r="I233" s="129"/>
      <c r="J233" s="129"/>
      <c r="K233" s="129"/>
      <c r="L233" s="129"/>
    </row>
    <row r="234" spans="2:18" x14ac:dyDescent="0.2">
      <c r="B234" s="183"/>
      <c r="C234" s="81" t="str">
        <f>'option 3.3 limiting landfill'!N311</f>
        <v>MSW metals</v>
      </c>
      <c r="D234" s="79">
        <f>'option 3.3 limiting landfill'!O311</f>
        <v>0</v>
      </c>
      <c r="E234" s="79">
        <f>'option 3.3 limiting landfill'!P311</f>
        <v>-1.1707738385384444E-2</v>
      </c>
      <c r="F234" s="184">
        <f>'option 3.3 limiting landfill'!Q311</f>
        <v>-1.897840370057971E-2</v>
      </c>
      <c r="G234" s="129"/>
      <c r="H234" s="171"/>
      <c r="I234" s="129"/>
      <c r="J234" s="129"/>
      <c r="K234" s="129"/>
      <c r="L234" s="129"/>
    </row>
    <row r="235" spans="2:18" x14ac:dyDescent="0.2">
      <c r="B235" s="183"/>
      <c r="C235" s="81" t="str">
        <f>'option 3.3 limiting landfill'!N312</f>
        <v>MSW paper</v>
      </c>
      <c r="D235" s="79">
        <f>'option 3.3 limiting landfill'!O312</f>
        <v>0</v>
      </c>
      <c r="E235" s="79">
        <f>'option 3.3 limiting landfill'!P312</f>
        <v>-1.1707738385384444E-2</v>
      </c>
      <c r="F235" s="184">
        <f>'option 3.3 limiting landfill'!Q312</f>
        <v>-1.897840370057971E-2</v>
      </c>
      <c r="G235" s="129"/>
      <c r="H235" s="171"/>
      <c r="I235" s="129"/>
      <c r="J235" s="129"/>
      <c r="K235" s="129"/>
      <c r="L235" s="129"/>
    </row>
    <row r="236" spans="2:18" x14ac:dyDescent="0.2">
      <c r="B236" s="183"/>
      <c r="C236" s="81" t="str">
        <f>'option 3.3 limiting landfill'!N313</f>
        <v>MSW wood</v>
      </c>
      <c r="D236" s="79">
        <f>'option 3.3 limiting landfill'!O313</f>
        <v>0</v>
      </c>
      <c r="E236" s="79">
        <f>'option 3.3 limiting landfill'!P313</f>
        <v>-1.1707738385384444E-2</v>
      </c>
      <c r="F236" s="184">
        <f>'option 3.3 limiting landfill'!Q313</f>
        <v>-1.897840370057971E-2</v>
      </c>
      <c r="G236" s="129"/>
      <c r="H236" s="171"/>
      <c r="I236" s="129"/>
      <c r="J236" s="129"/>
      <c r="K236" s="129"/>
      <c r="L236" s="129"/>
    </row>
    <row r="237" spans="2:18" x14ac:dyDescent="0.2">
      <c r="B237" s="183"/>
      <c r="C237" s="81" t="str">
        <f>'option 3.3 limiting landfill'!N314</f>
        <v>packaging plastics</v>
      </c>
      <c r="D237" s="79">
        <f>'option 3.3 limiting landfill'!O314</f>
        <v>0</v>
      </c>
      <c r="E237" s="79">
        <f>'option 3.3 limiting landfill'!P314</f>
        <v>-1.1707738385384444E-2</v>
      </c>
      <c r="F237" s="184">
        <f>'option 3.3 limiting landfill'!Q314</f>
        <v>-1.897840370057971E-2</v>
      </c>
      <c r="G237" s="129"/>
      <c r="H237" s="171"/>
      <c r="I237" s="129"/>
      <c r="J237" s="129"/>
      <c r="K237" s="129"/>
      <c r="L237" s="129"/>
    </row>
    <row r="238" spans="2:18" x14ac:dyDescent="0.2">
      <c r="B238" s="183"/>
      <c r="C238" s="81" t="str">
        <f>'option 3.3 limiting landfill'!N315</f>
        <v>packaging glass</v>
      </c>
      <c r="D238" s="79">
        <f>'option 3.3 limiting landfill'!O315</f>
        <v>0</v>
      </c>
      <c r="E238" s="79">
        <f>'option 3.3 limiting landfill'!P315</f>
        <v>-1.1707738385384444E-2</v>
      </c>
      <c r="F238" s="184">
        <f>'option 3.3 limiting landfill'!Q315</f>
        <v>-1.897840370057971E-2</v>
      </c>
      <c r="G238" s="129"/>
      <c r="H238" s="171"/>
      <c r="I238" s="129"/>
      <c r="J238" s="129"/>
      <c r="K238" s="129"/>
      <c r="L238" s="129"/>
    </row>
    <row r="239" spans="2:18" x14ac:dyDescent="0.2">
      <c r="B239" s="183"/>
      <c r="C239" s="81" t="str">
        <f>'option 3.3 limiting landfill'!N316</f>
        <v>packaging steel</v>
      </c>
      <c r="D239" s="79">
        <f>'option 3.3 limiting landfill'!O316</f>
        <v>0</v>
      </c>
      <c r="E239" s="79">
        <f>'option 3.3 limiting landfill'!P316</f>
        <v>-1.1707738385384444E-2</v>
      </c>
      <c r="F239" s="184">
        <f>'option 3.3 limiting landfill'!Q316</f>
        <v>-1.897840370057971E-2</v>
      </c>
      <c r="G239" s="129"/>
      <c r="H239" s="171"/>
      <c r="I239" s="129"/>
      <c r="J239" s="129"/>
      <c r="K239" s="129"/>
      <c r="L239" s="129"/>
    </row>
    <row r="240" spans="2:18" x14ac:dyDescent="0.2">
      <c r="B240" s="183"/>
      <c r="C240" s="81" t="str">
        <f>'option 3.3 limiting landfill'!N317</f>
        <v>packaging aluminium</v>
      </c>
      <c r="D240" s="79">
        <f>'option 3.3 limiting landfill'!O317</f>
        <v>0</v>
      </c>
      <c r="E240" s="79">
        <f>'option 3.3 limiting landfill'!P317</f>
        <v>-1.1707738385384444E-2</v>
      </c>
      <c r="F240" s="184">
        <f>'option 3.3 limiting landfill'!Q317</f>
        <v>-1.897840370057971E-2</v>
      </c>
      <c r="G240" s="129"/>
      <c r="H240" s="171"/>
      <c r="I240" s="129"/>
      <c r="J240" s="129"/>
      <c r="K240" s="129"/>
      <c r="L240" s="129"/>
    </row>
    <row r="241" spans="2:12" x14ac:dyDescent="0.2">
      <c r="B241" s="183"/>
      <c r="C241" s="81" t="str">
        <f>'option 3.3 limiting landfill'!N318</f>
        <v>packaging paper</v>
      </c>
      <c r="D241" s="79">
        <f>'option 3.3 limiting landfill'!O318</f>
        <v>0</v>
      </c>
      <c r="E241" s="79">
        <f>'option 3.3 limiting landfill'!P318</f>
        <v>-1.1707738385384444E-2</v>
      </c>
      <c r="F241" s="184">
        <f>'option 3.3 limiting landfill'!Q318</f>
        <v>-1.897840370057971E-2</v>
      </c>
      <c r="G241" s="129"/>
      <c r="H241" s="171"/>
      <c r="I241" s="129"/>
      <c r="J241" s="129"/>
      <c r="K241" s="129"/>
      <c r="L241" s="129"/>
    </row>
    <row r="242" spans="2:12" x14ac:dyDescent="0.2">
      <c r="B242" s="185"/>
      <c r="C242" s="224" t="str">
        <f>'option 3.3 limiting landfill'!N319</f>
        <v>packaging wood</v>
      </c>
      <c r="D242" s="181">
        <f>'option 3.3 limiting landfill'!O319</f>
        <v>0</v>
      </c>
      <c r="E242" s="181">
        <f>'option 3.3 limiting landfill'!P319</f>
        <v>-1.6698258186165992E-3</v>
      </c>
      <c r="F242" s="186">
        <f>'option 3.3 limiting landfill'!Q319</f>
        <v>-5.621700120287277E-3</v>
      </c>
      <c r="G242" s="129"/>
      <c r="H242" s="171"/>
      <c r="I242" s="129"/>
      <c r="J242" s="129"/>
      <c r="K242" s="129"/>
      <c r="L242" s="129"/>
    </row>
    <row r="243" spans="2:12" x14ac:dyDescent="0.2">
      <c r="B243" s="194"/>
      <c r="C243" s="194"/>
      <c r="D243" s="194"/>
      <c r="E243" s="194"/>
      <c r="F243" s="194"/>
      <c r="G243" s="129"/>
      <c r="H243" s="171"/>
      <c r="I243" s="129"/>
      <c r="J243" s="129"/>
      <c r="K243" s="129"/>
      <c r="L243" s="129"/>
    </row>
    <row r="244" spans="2:12" x14ac:dyDescent="0.2">
      <c r="B244" s="79"/>
      <c r="C244" s="79"/>
      <c r="D244" s="79"/>
      <c r="E244" s="79"/>
      <c r="F244" s="79"/>
      <c r="G244" s="129"/>
      <c r="H244" s="171"/>
      <c r="I244" s="129"/>
      <c r="J244" s="129"/>
      <c r="K244" s="129"/>
      <c r="L244" s="129"/>
    </row>
    <row r="245" spans="2:12" x14ac:dyDescent="0.2">
      <c r="B245" s="79"/>
      <c r="C245" s="81"/>
      <c r="D245" s="79"/>
      <c r="E245" s="79"/>
      <c r="F245" s="79"/>
      <c r="G245" s="129"/>
      <c r="H245" s="171"/>
      <c r="I245" s="129"/>
      <c r="J245" s="129"/>
      <c r="K245" s="129"/>
      <c r="L245" s="129"/>
    </row>
    <row r="246" spans="2:12" ht="14.25" x14ac:dyDescent="0.2">
      <c r="B246" s="129"/>
      <c r="C246" s="129"/>
      <c r="D246" s="230"/>
      <c r="E246" s="230"/>
      <c r="F246" s="231"/>
      <c r="G246" s="129"/>
      <c r="H246" s="171"/>
      <c r="I246" s="129"/>
      <c r="J246" s="129"/>
      <c r="K246" s="129"/>
      <c r="L246" s="129"/>
    </row>
    <row r="247" spans="2:12" ht="14.25" x14ac:dyDescent="0.2">
      <c r="B247" s="129"/>
      <c r="C247" s="129"/>
      <c r="D247" s="230"/>
      <c r="E247" s="230"/>
      <c r="F247" s="231"/>
      <c r="G247" s="129"/>
      <c r="H247" s="171"/>
      <c r="I247" s="129"/>
      <c r="J247" s="129"/>
      <c r="K247" s="129"/>
      <c r="L247" s="129"/>
    </row>
    <row r="248" spans="2:12" ht="14.25" x14ac:dyDescent="0.2">
      <c r="B248" s="129"/>
      <c r="C248" s="129"/>
      <c r="D248" s="230"/>
      <c r="E248" s="230"/>
      <c r="F248" s="231"/>
      <c r="G248" s="129"/>
      <c r="H248" s="171"/>
      <c r="I248" s="129"/>
      <c r="J248" s="129"/>
      <c r="K248" s="129"/>
      <c r="L248" s="129"/>
    </row>
    <row r="249" spans="2:12" ht="14.25" x14ac:dyDescent="0.2">
      <c r="B249" s="129"/>
      <c r="C249" s="129"/>
      <c r="D249" s="230"/>
      <c r="E249" s="230"/>
      <c r="F249" s="231"/>
      <c r="G249" s="129"/>
      <c r="H249" s="171"/>
      <c r="I249" s="129"/>
      <c r="J249" s="129"/>
      <c r="K249" s="129"/>
      <c r="L249" s="129"/>
    </row>
    <row r="250" spans="2:12" ht="14.25" x14ac:dyDescent="0.2">
      <c r="B250" s="129"/>
      <c r="C250" s="129"/>
      <c r="D250" s="230"/>
      <c r="E250" s="230"/>
      <c r="F250" s="231"/>
      <c r="G250" s="129"/>
      <c r="H250" s="171"/>
      <c r="I250" s="129"/>
      <c r="J250" s="129"/>
      <c r="K250" s="129"/>
      <c r="L250" s="129"/>
    </row>
    <row r="251" spans="2:12" ht="14.25" x14ac:dyDescent="0.2">
      <c r="B251" s="129"/>
      <c r="C251" s="129"/>
      <c r="D251" s="230"/>
      <c r="E251" s="230"/>
      <c r="F251" s="231"/>
      <c r="G251" s="129"/>
      <c r="H251" s="171"/>
      <c r="I251" s="129"/>
      <c r="J251" s="129"/>
      <c r="K251" s="129"/>
      <c r="L251" s="129"/>
    </row>
    <row r="252" spans="2:12" ht="14.25" x14ac:dyDescent="0.2">
      <c r="B252" s="129"/>
      <c r="C252" s="129"/>
      <c r="D252" s="230"/>
      <c r="E252" s="230"/>
      <c r="F252" s="231"/>
      <c r="G252" s="129"/>
      <c r="H252" s="171"/>
      <c r="I252" s="129"/>
      <c r="J252" s="129"/>
      <c r="K252" s="129"/>
      <c r="L252" s="129"/>
    </row>
    <row r="253" spans="2:12" ht="14.25" x14ac:dyDescent="0.2">
      <c r="B253" s="129"/>
      <c r="C253" s="129"/>
      <c r="D253" s="230"/>
      <c r="E253" s="230"/>
      <c r="F253" s="231"/>
      <c r="G253" s="129"/>
      <c r="H253" s="171"/>
      <c r="I253" s="129"/>
      <c r="J253" s="129"/>
      <c r="K253" s="129"/>
      <c r="L253" s="129"/>
    </row>
    <row r="254" spans="2:12" ht="14.25" x14ac:dyDescent="0.2">
      <c r="B254" s="129"/>
      <c r="C254" s="129"/>
      <c r="D254" s="230"/>
      <c r="E254" s="230"/>
      <c r="F254" s="231"/>
      <c r="G254" s="129"/>
      <c r="H254" s="171"/>
      <c r="I254" s="129"/>
      <c r="J254" s="129"/>
      <c r="K254" s="129"/>
      <c r="L254" s="129"/>
    </row>
    <row r="255" spans="2:12" ht="14.25" x14ac:dyDescent="0.2">
      <c r="B255" s="129"/>
      <c r="C255" s="129"/>
      <c r="D255" s="230"/>
      <c r="E255" s="230"/>
      <c r="F255" s="231"/>
      <c r="G255" s="129"/>
      <c r="H255" s="171"/>
      <c r="I255" s="129"/>
      <c r="J255" s="129"/>
      <c r="K255" s="129"/>
      <c r="L255" s="129"/>
    </row>
    <row r="256" spans="2:12" ht="14.25" x14ac:dyDescent="0.2">
      <c r="B256" s="129"/>
      <c r="C256" s="129"/>
      <c r="D256" s="230"/>
      <c r="E256" s="230"/>
      <c r="F256" s="231"/>
      <c r="G256" s="129"/>
      <c r="H256" s="171"/>
      <c r="I256" s="129"/>
      <c r="J256" s="129"/>
      <c r="K256" s="129"/>
      <c r="L256" s="129"/>
    </row>
    <row r="257" spans="2:12" ht="14.25" x14ac:dyDescent="0.2">
      <c r="B257" s="129"/>
      <c r="C257" s="129"/>
      <c r="D257" s="230"/>
      <c r="E257" s="230"/>
      <c r="F257" s="231"/>
      <c r="G257" s="129"/>
      <c r="H257" s="171"/>
      <c r="I257" s="129"/>
      <c r="J257" s="129"/>
      <c r="K257" s="129"/>
      <c r="L257" s="129"/>
    </row>
    <row r="258" spans="2:12" ht="14.25" x14ac:dyDescent="0.2">
      <c r="B258" s="129"/>
      <c r="C258" s="129"/>
      <c r="D258" s="230"/>
      <c r="E258" s="230"/>
      <c r="F258" s="231"/>
      <c r="G258" s="129"/>
      <c r="H258" s="171"/>
      <c r="I258" s="129"/>
      <c r="J258" s="129"/>
      <c r="K258" s="129"/>
      <c r="L258" s="129"/>
    </row>
    <row r="259" spans="2:12" ht="14.25" x14ac:dyDescent="0.2">
      <c r="B259" s="129"/>
      <c r="C259" s="129"/>
      <c r="D259" s="230"/>
      <c r="E259" s="230"/>
      <c r="F259" s="231"/>
      <c r="G259" s="129"/>
      <c r="H259" s="171"/>
      <c r="I259" s="129"/>
      <c r="J259" s="129"/>
      <c r="K259" s="129"/>
      <c r="L259" s="129"/>
    </row>
    <row r="260" spans="2:12" ht="14.25" x14ac:dyDescent="0.2">
      <c r="B260" s="129"/>
      <c r="C260" s="129"/>
      <c r="D260" s="230"/>
      <c r="E260" s="230"/>
      <c r="F260" s="231"/>
      <c r="G260" s="129"/>
      <c r="H260" s="171"/>
      <c r="I260" s="129"/>
      <c r="J260" s="129"/>
      <c r="K260" s="129"/>
      <c r="L260" s="129"/>
    </row>
    <row r="261" spans="2:12" ht="14.25" x14ac:dyDescent="0.2">
      <c r="B261" s="129"/>
      <c r="C261" s="129"/>
      <c r="D261" s="230"/>
      <c r="E261" s="230"/>
      <c r="F261" s="231"/>
      <c r="G261" s="129"/>
      <c r="H261" s="171"/>
      <c r="I261" s="129"/>
      <c r="J261" s="129"/>
      <c r="K261" s="129"/>
      <c r="L261" s="129"/>
    </row>
    <row r="262" spans="2:12" ht="14.25" x14ac:dyDescent="0.2">
      <c r="B262" s="129"/>
      <c r="C262" s="129"/>
      <c r="D262" s="230"/>
      <c r="E262" s="230"/>
      <c r="F262" s="231"/>
      <c r="G262" s="129"/>
      <c r="H262" s="171"/>
      <c r="I262" s="129"/>
      <c r="J262" s="129"/>
      <c r="K262" s="129"/>
      <c r="L262" s="129"/>
    </row>
    <row r="263" spans="2:12" ht="14.25" x14ac:dyDescent="0.2">
      <c r="B263" s="129"/>
      <c r="C263" s="129"/>
      <c r="D263" s="230"/>
      <c r="E263" s="230"/>
      <c r="F263" s="231"/>
      <c r="G263" s="129"/>
      <c r="H263" s="171"/>
      <c r="I263" s="129"/>
      <c r="J263" s="129"/>
      <c r="K263" s="129"/>
      <c r="L263" s="129"/>
    </row>
    <row r="264" spans="2:12" ht="14.25" x14ac:dyDescent="0.2">
      <c r="B264" s="129"/>
      <c r="C264" s="129"/>
      <c r="D264" s="230"/>
      <c r="E264" s="230"/>
      <c r="F264" s="231"/>
      <c r="G264" s="129"/>
      <c r="H264" s="171"/>
      <c r="I264" s="129"/>
      <c r="J264" s="129"/>
      <c r="K264" s="129"/>
      <c r="L264" s="129"/>
    </row>
    <row r="265" spans="2:12" ht="14.25" x14ac:dyDescent="0.2">
      <c r="B265" s="129"/>
      <c r="C265" s="129"/>
      <c r="D265" s="230"/>
      <c r="E265" s="230"/>
      <c r="F265" s="231"/>
      <c r="G265" s="129"/>
      <c r="H265" s="171"/>
      <c r="I265" s="129"/>
      <c r="J265" s="129"/>
      <c r="K265" s="129"/>
      <c r="L265" s="129"/>
    </row>
    <row r="266" spans="2:12" ht="14.25" x14ac:dyDescent="0.2">
      <c r="B266" s="129"/>
      <c r="C266" s="129"/>
      <c r="D266" s="230"/>
      <c r="E266" s="230"/>
      <c r="F266" s="231"/>
      <c r="G266" s="129"/>
      <c r="H266" s="171"/>
      <c r="I266" s="129"/>
      <c r="J266" s="129"/>
      <c r="K266" s="129"/>
      <c r="L266" s="129"/>
    </row>
    <row r="267" spans="2:12" ht="14.25" x14ac:dyDescent="0.2">
      <c r="B267" s="129"/>
      <c r="C267" s="129"/>
      <c r="D267" s="230"/>
      <c r="E267" s="230"/>
      <c r="F267" s="231"/>
      <c r="G267" s="129"/>
      <c r="H267" s="171"/>
      <c r="I267" s="129"/>
      <c r="J267" s="129"/>
      <c r="K267" s="129"/>
      <c r="L267" s="129"/>
    </row>
    <row r="268" spans="2:12" ht="14.25" x14ac:dyDescent="0.2">
      <c r="B268" s="129"/>
      <c r="C268" s="129"/>
      <c r="D268" s="230"/>
      <c r="E268" s="230"/>
      <c r="F268" s="231"/>
      <c r="G268" s="129"/>
      <c r="H268" s="171"/>
      <c r="I268" s="129"/>
      <c r="J268" s="129"/>
      <c r="K268" s="129"/>
      <c r="L268" s="129"/>
    </row>
    <row r="269" spans="2:12" ht="14.25" x14ac:dyDescent="0.2">
      <c r="B269" s="129"/>
      <c r="C269" s="129"/>
      <c r="D269" s="230"/>
      <c r="E269" s="230"/>
      <c r="F269" s="231"/>
      <c r="G269" s="129"/>
      <c r="H269" s="171"/>
      <c r="I269" s="129"/>
      <c r="J269" s="129"/>
      <c r="K269" s="129"/>
      <c r="L269" s="129"/>
    </row>
    <row r="270" spans="2:12" ht="14.25" x14ac:dyDescent="0.2">
      <c r="B270" s="129"/>
      <c r="C270" s="129"/>
      <c r="D270" s="230"/>
      <c r="E270" s="230"/>
      <c r="F270" s="231"/>
      <c r="G270" s="129"/>
      <c r="H270" s="171"/>
      <c r="I270" s="129"/>
      <c r="J270" s="129"/>
      <c r="K270" s="129"/>
      <c r="L270" s="129"/>
    </row>
    <row r="271" spans="2:12" ht="14.25" x14ac:dyDescent="0.2">
      <c r="B271" s="129"/>
      <c r="C271" s="129"/>
      <c r="D271" s="230"/>
      <c r="E271" s="230"/>
      <c r="F271" s="231"/>
      <c r="G271" s="129"/>
      <c r="H271" s="171"/>
      <c r="I271" s="129"/>
      <c r="J271" s="129"/>
      <c r="K271" s="129"/>
      <c r="L271" s="129"/>
    </row>
    <row r="272" spans="2:12" ht="14.25" x14ac:dyDescent="0.2">
      <c r="B272" s="129"/>
      <c r="C272" s="129"/>
      <c r="D272" s="230"/>
      <c r="E272" s="230"/>
      <c r="F272" s="231"/>
      <c r="G272" s="129"/>
      <c r="H272" s="171"/>
      <c r="I272" s="129"/>
      <c r="J272" s="129"/>
      <c r="K272" s="129"/>
      <c r="L272" s="129"/>
    </row>
    <row r="273" spans="2:12" ht="14.25" x14ac:dyDescent="0.2">
      <c r="B273" s="129"/>
      <c r="C273" s="129"/>
      <c r="D273" s="230"/>
      <c r="E273" s="230"/>
      <c r="F273" s="231"/>
      <c r="G273" s="129"/>
      <c r="H273" s="171"/>
      <c r="I273" s="129"/>
      <c r="J273" s="129"/>
      <c r="K273" s="129"/>
      <c r="L273" s="129"/>
    </row>
    <row r="274" spans="2:12" ht="14.25" x14ac:dyDescent="0.2">
      <c r="B274" s="129"/>
      <c r="C274" s="129"/>
      <c r="D274" s="230"/>
      <c r="E274" s="230"/>
      <c r="F274" s="231"/>
      <c r="G274" s="129"/>
      <c r="H274" s="171"/>
      <c r="I274" s="129"/>
      <c r="J274" s="129"/>
      <c r="K274" s="129"/>
      <c r="L274" s="129"/>
    </row>
    <row r="275" spans="2:12" ht="14.25" x14ac:dyDescent="0.2">
      <c r="B275" s="129"/>
      <c r="C275" s="129"/>
      <c r="D275" s="230"/>
      <c r="E275" s="230"/>
      <c r="F275" s="231"/>
      <c r="G275" s="129"/>
      <c r="H275" s="171"/>
      <c r="I275" s="129"/>
      <c r="J275" s="129"/>
      <c r="K275" s="129"/>
      <c r="L275" s="129"/>
    </row>
    <row r="276" spans="2:12" ht="14.25" x14ac:dyDescent="0.2">
      <c r="B276" s="129"/>
      <c r="C276" s="129"/>
      <c r="D276" s="230"/>
      <c r="E276" s="230"/>
      <c r="F276" s="231"/>
      <c r="G276" s="129"/>
      <c r="H276" s="171"/>
      <c r="I276" s="129"/>
      <c r="J276" s="129"/>
      <c r="K276" s="129"/>
      <c r="L276" s="129"/>
    </row>
    <row r="277" spans="2:12" ht="14.25" x14ac:dyDescent="0.2">
      <c r="B277" s="129"/>
      <c r="C277" s="129"/>
      <c r="D277" s="230"/>
      <c r="E277" s="230"/>
      <c r="F277" s="231"/>
      <c r="G277" s="129"/>
      <c r="H277" s="171"/>
      <c r="I277" s="129"/>
      <c r="J277" s="129"/>
      <c r="K277" s="129"/>
      <c r="L277" s="129"/>
    </row>
    <row r="278" spans="2:12" ht="14.25" x14ac:dyDescent="0.2">
      <c r="B278" s="129"/>
      <c r="C278" s="129"/>
      <c r="D278" s="230"/>
      <c r="E278" s="230"/>
      <c r="F278" s="231"/>
      <c r="G278" s="129"/>
      <c r="H278" s="171"/>
      <c r="I278" s="129"/>
      <c r="J278" s="129"/>
      <c r="K278" s="129"/>
      <c r="L278" s="129"/>
    </row>
    <row r="279" spans="2:12" ht="14.25" x14ac:dyDescent="0.2">
      <c r="B279" s="129"/>
      <c r="C279" s="129"/>
      <c r="D279" s="230"/>
      <c r="E279" s="230"/>
      <c r="F279" s="231"/>
      <c r="G279" s="129"/>
      <c r="H279" s="171"/>
      <c r="I279" s="129"/>
      <c r="J279" s="129"/>
      <c r="K279" s="129"/>
      <c r="L279" s="129"/>
    </row>
    <row r="280" spans="2:12" ht="14.25" x14ac:dyDescent="0.2">
      <c r="B280" s="129"/>
      <c r="C280" s="129"/>
      <c r="D280" s="230"/>
      <c r="E280" s="230"/>
      <c r="F280" s="231"/>
      <c r="G280" s="129"/>
      <c r="H280" s="171"/>
      <c r="I280" s="129"/>
      <c r="J280" s="129"/>
      <c r="K280" s="129"/>
      <c r="L280" s="129"/>
    </row>
    <row r="281" spans="2:12" ht="14.25" x14ac:dyDescent="0.2">
      <c r="B281" s="129"/>
      <c r="C281" s="129"/>
      <c r="D281" s="230"/>
      <c r="E281" s="230"/>
      <c r="F281" s="231"/>
      <c r="G281" s="129"/>
      <c r="H281" s="171"/>
      <c r="I281" s="129"/>
      <c r="J281" s="129"/>
      <c r="K281" s="129"/>
      <c r="L281" s="129"/>
    </row>
    <row r="282" spans="2:12" ht="14.25" x14ac:dyDescent="0.2">
      <c r="B282" s="129"/>
      <c r="C282" s="129"/>
      <c r="D282" s="230"/>
      <c r="E282" s="230"/>
      <c r="F282" s="231"/>
      <c r="G282" s="129"/>
      <c r="H282" s="171"/>
      <c r="I282" s="129"/>
      <c r="J282" s="129"/>
      <c r="K282" s="129"/>
      <c r="L282" s="129"/>
    </row>
    <row r="283" spans="2:12" ht="14.25" x14ac:dyDescent="0.2">
      <c r="B283" s="129"/>
      <c r="C283" s="129"/>
      <c r="D283" s="230"/>
      <c r="E283" s="230"/>
      <c r="F283" s="231"/>
      <c r="G283" s="129"/>
      <c r="H283" s="171"/>
      <c r="I283" s="129"/>
      <c r="J283" s="129"/>
      <c r="K283" s="129"/>
      <c r="L283" s="129"/>
    </row>
    <row r="284" spans="2:12" ht="14.25" x14ac:dyDescent="0.2">
      <c r="B284" s="129"/>
      <c r="C284" s="129"/>
      <c r="D284" s="230"/>
      <c r="E284" s="230"/>
      <c r="F284" s="231"/>
      <c r="G284" s="129"/>
      <c r="H284" s="171"/>
      <c r="I284" s="129"/>
      <c r="J284" s="129"/>
      <c r="K284" s="129"/>
      <c r="L284" s="129"/>
    </row>
    <row r="285" spans="2:12" ht="14.25" x14ac:dyDescent="0.2">
      <c r="B285" s="129"/>
      <c r="C285" s="129"/>
      <c r="D285" s="230"/>
      <c r="E285" s="230"/>
      <c r="F285" s="231"/>
      <c r="G285" s="129"/>
      <c r="H285" s="171"/>
      <c r="I285" s="129"/>
      <c r="J285" s="129"/>
      <c r="K285" s="129"/>
      <c r="L285" s="129"/>
    </row>
    <row r="286" spans="2:12" ht="14.25" x14ac:dyDescent="0.2">
      <c r="B286" s="129"/>
      <c r="C286" s="129"/>
      <c r="D286" s="230"/>
      <c r="E286" s="230"/>
      <c r="F286" s="231"/>
      <c r="G286" s="129"/>
      <c r="H286" s="171"/>
      <c r="I286" s="129"/>
      <c r="J286" s="129"/>
      <c r="K286" s="129"/>
      <c r="L286" s="129"/>
    </row>
    <row r="287" spans="2:12" ht="14.25" x14ac:dyDescent="0.2">
      <c r="B287" s="129"/>
      <c r="C287" s="129"/>
      <c r="D287" s="230"/>
      <c r="E287" s="230"/>
      <c r="F287" s="231"/>
      <c r="G287" s="129"/>
      <c r="H287" s="171"/>
      <c r="I287" s="129"/>
      <c r="J287" s="129"/>
      <c r="K287" s="129"/>
      <c r="L287" s="129"/>
    </row>
    <row r="288" spans="2:12" ht="14.25" x14ac:dyDescent="0.2">
      <c r="B288" s="129"/>
      <c r="C288" s="129"/>
      <c r="D288" s="230"/>
      <c r="E288" s="230"/>
      <c r="F288" s="231"/>
      <c r="G288" s="129"/>
      <c r="H288" s="171"/>
      <c r="I288" s="129"/>
      <c r="J288" s="129"/>
      <c r="K288" s="129"/>
      <c r="L288" s="129"/>
    </row>
    <row r="289" spans="2:12" ht="14.25" x14ac:dyDescent="0.2">
      <c r="B289" s="129"/>
      <c r="C289" s="129"/>
      <c r="D289" s="230"/>
      <c r="E289" s="230"/>
      <c r="F289" s="231"/>
      <c r="G289" s="129"/>
      <c r="H289" s="171"/>
      <c r="I289" s="129"/>
      <c r="J289" s="129"/>
      <c r="K289" s="129"/>
      <c r="L289" s="129"/>
    </row>
    <row r="290" spans="2:12" ht="14.25" x14ac:dyDescent="0.2">
      <c r="B290" s="129"/>
      <c r="C290" s="129"/>
      <c r="D290" s="230"/>
      <c r="E290" s="230"/>
      <c r="F290" s="231"/>
      <c r="G290" s="129"/>
      <c r="H290" s="171"/>
      <c r="I290" s="129"/>
      <c r="J290" s="129"/>
      <c r="K290" s="129"/>
      <c r="L290" s="129"/>
    </row>
    <row r="291" spans="2:12" ht="14.25" x14ac:dyDescent="0.2">
      <c r="B291" s="129"/>
      <c r="C291" s="129"/>
      <c r="D291" s="230"/>
      <c r="E291" s="230"/>
      <c r="F291" s="231"/>
      <c r="G291" s="129"/>
      <c r="H291" s="171"/>
      <c r="I291" s="129"/>
      <c r="J291" s="129"/>
      <c r="K291" s="129"/>
      <c r="L291" s="129"/>
    </row>
    <row r="292" spans="2:12" ht="14.25" x14ac:dyDescent="0.2">
      <c r="B292" s="129"/>
      <c r="C292" s="129"/>
      <c r="D292" s="230"/>
      <c r="E292" s="230"/>
      <c r="F292" s="231"/>
      <c r="G292" s="129"/>
      <c r="H292" s="171"/>
      <c r="I292" s="129"/>
      <c r="J292" s="129"/>
      <c r="K292" s="129"/>
      <c r="L292" s="129"/>
    </row>
    <row r="293" spans="2:12" ht="14.25" x14ac:dyDescent="0.2">
      <c r="B293" s="129"/>
      <c r="C293" s="129"/>
      <c r="D293" s="230"/>
      <c r="E293" s="230"/>
      <c r="F293" s="231"/>
      <c r="G293" s="129"/>
      <c r="H293" s="171"/>
      <c r="I293" s="129"/>
      <c r="J293" s="129"/>
      <c r="K293" s="129"/>
      <c r="L293" s="129"/>
    </row>
    <row r="294" spans="2:12" ht="14.25" x14ac:dyDescent="0.2">
      <c r="B294" s="129"/>
      <c r="C294" s="129"/>
      <c r="D294" s="230"/>
      <c r="E294" s="230"/>
      <c r="F294" s="231"/>
      <c r="G294" s="129"/>
      <c r="H294" s="171"/>
      <c r="I294" s="129"/>
      <c r="J294" s="129"/>
      <c r="K294" s="129"/>
      <c r="L294" s="129"/>
    </row>
    <row r="295" spans="2:12" ht="14.25" x14ac:dyDescent="0.2">
      <c r="B295" s="129"/>
      <c r="C295" s="129"/>
      <c r="D295" s="230"/>
      <c r="E295" s="230"/>
      <c r="F295" s="231"/>
      <c r="G295" s="129"/>
      <c r="H295" s="171"/>
      <c r="I295" s="129"/>
      <c r="J295" s="129"/>
      <c r="K295" s="129"/>
      <c r="L295" s="129"/>
    </row>
    <row r="296" spans="2:12" ht="14.25" x14ac:dyDescent="0.2">
      <c r="B296" s="129"/>
      <c r="C296" s="129"/>
      <c r="D296" s="230"/>
      <c r="E296" s="230"/>
      <c r="F296" s="231"/>
      <c r="G296" s="129"/>
      <c r="H296" s="171"/>
      <c r="I296" s="129"/>
      <c r="J296" s="129"/>
      <c r="K296" s="129"/>
      <c r="L296" s="129"/>
    </row>
    <row r="297" spans="2:12" ht="14.25" x14ac:dyDescent="0.2">
      <c r="B297" s="129"/>
      <c r="C297" s="129"/>
      <c r="D297" s="230"/>
      <c r="E297" s="230"/>
      <c r="F297" s="231"/>
      <c r="G297" s="129"/>
      <c r="H297" s="171"/>
      <c r="I297" s="129"/>
      <c r="J297" s="129"/>
      <c r="K297" s="129"/>
      <c r="L297" s="129"/>
    </row>
    <row r="298" spans="2:12" ht="14.25" x14ac:dyDescent="0.2">
      <c r="B298" s="129"/>
      <c r="C298" s="129"/>
      <c r="D298" s="230"/>
      <c r="E298" s="230"/>
      <c r="F298" s="231"/>
      <c r="G298" s="129"/>
      <c r="H298" s="171"/>
      <c r="I298" s="129"/>
      <c r="J298" s="129"/>
      <c r="K298" s="129"/>
      <c r="L298" s="129"/>
    </row>
    <row r="299" spans="2:12" x14ac:dyDescent="0.2">
      <c r="B299" s="129"/>
      <c r="C299" s="129"/>
      <c r="D299" s="129"/>
      <c r="E299" s="129"/>
      <c r="F299" s="129"/>
      <c r="G299" s="129"/>
      <c r="H299" s="171"/>
      <c r="I299" s="129"/>
      <c r="J299" s="129"/>
      <c r="K299" s="129"/>
      <c r="L299" s="129"/>
    </row>
    <row r="300" spans="2:12" x14ac:dyDescent="0.2">
      <c r="B300" s="129"/>
      <c r="C300" s="129"/>
      <c r="D300" s="129"/>
      <c r="E300" s="129"/>
      <c r="F300" s="129"/>
      <c r="G300" s="129"/>
      <c r="H300" s="171"/>
      <c r="I300" s="129"/>
      <c r="J300" s="129"/>
      <c r="K300" s="129"/>
      <c r="L300" s="129"/>
    </row>
    <row r="301" spans="2:12" x14ac:dyDescent="0.2">
      <c r="B301" s="129"/>
      <c r="C301" s="129"/>
      <c r="D301" s="129"/>
      <c r="E301" s="129"/>
      <c r="F301" s="129"/>
      <c r="G301" s="129"/>
      <c r="H301" s="171"/>
      <c r="I301" s="129"/>
      <c r="J301" s="129"/>
      <c r="K301" s="129"/>
      <c r="L301" s="129"/>
    </row>
    <row r="302" spans="2:12" x14ac:dyDescent="0.2">
      <c r="B302" s="129"/>
      <c r="C302" s="129"/>
      <c r="D302" s="129"/>
      <c r="E302" s="129"/>
      <c r="F302" s="129"/>
      <c r="G302" s="129"/>
      <c r="H302" s="171"/>
      <c r="I302" s="129"/>
      <c r="J302" s="129"/>
      <c r="K302" s="129"/>
      <c r="L302" s="129"/>
    </row>
    <row r="303" spans="2:12" x14ac:dyDescent="0.2">
      <c r="B303" s="129"/>
      <c r="C303" s="129"/>
      <c r="D303" s="129"/>
      <c r="E303" s="129"/>
      <c r="F303" s="129"/>
      <c r="G303" s="129"/>
      <c r="H303" s="171"/>
      <c r="I303" s="129"/>
      <c r="J303" s="129"/>
      <c r="K303" s="129"/>
      <c r="L303" s="129"/>
    </row>
    <row r="304" spans="2:12" x14ac:dyDescent="0.2">
      <c r="B304" s="129"/>
      <c r="C304" s="129"/>
      <c r="D304" s="129"/>
      <c r="E304" s="129"/>
      <c r="F304" s="129"/>
      <c r="G304" s="129"/>
      <c r="H304" s="171"/>
      <c r="I304" s="129"/>
      <c r="J304" s="129"/>
      <c r="K304" s="129"/>
      <c r="L304" s="129"/>
    </row>
    <row r="305" spans="2:12" x14ac:dyDescent="0.2">
      <c r="B305" s="129"/>
      <c r="C305" s="129"/>
      <c r="D305" s="129"/>
      <c r="E305" s="129"/>
      <c r="F305" s="129"/>
      <c r="G305" s="129"/>
      <c r="H305" s="171"/>
      <c r="I305" s="129"/>
      <c r="J305" s="129"/>
      <c r="K305" s="129"/>
      <c r="L305" s="129"/>
    </row>
    <row r="306" spans="2:12" x14ac:dyDescent="0.2">
      <c r="B306" s="129"/>
      <c r="C306" s="129"/>
      <c r="D306" s="129"/>
      <c r="E306" s="129"/>
      <c r="F306" s="129"/>
      <c r="G306" s="129"/>
      <c r="H306" s="171"/>
      <c r="I306" s="129"/>
      <c r="J306" s="129"/>
      <c r="K306" s="129"/>
      <c r="L306" s="129"/>
    </row>
    <row r="307" spans="2:12" x14ac:dyDescent="0.2">
      <c r="B307" s="129"/>
      <c r="C307" s="129"/>
      <c r="D307" s="129"/>
      <c r="E307" s="129"/>
      <c r="F307" s="129"/>
      <c r="G307" s="129"/>
      <c r="H307" s="171"/>
      <c r="I307" s="129"/>
      <c r="J307" s="129"/>
      <c r="K307" s="129"/>
      <c r="L307" s="129"/>
    </row>
    <row r="308" spans="2:12" x14ac:dyDescent="0.2">
      <c r="B308" s="129"/>
      <c r="C308" s="129"/>
      <c r="D308" s="129"/>
      <c r="E308" s="170"/>
      <c r="F308" s="129"/>
      <c r="G308" s="129"/>
      <c r="H308" s="171"/>
      <c r="I308" s="129"/>
      <c r="J308" s="129"/>
      <c r="K308" s="129"/>
      <c r="L308" s="129"/>
    </row>
  </sheetData>
  <mergeCells count="8">
    <mergeCell ref="AS5:AT5"/>
    <mergeCell ref="D60:F60"/>
    <mergeCell ref="G60:I60"/>
    <mergeCell ref="J60:L60"/>
    <mergeCell ref="Y5:Z5"/>
    <mergeCell ref="G25:G29"/>
    <mergeCell ref="H28:K28"/>
    <mergeCell ref="AI5:AJ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E7F23"/>
  </sheetPr>
  <dimension ref="A1:AU239"/>
  <sheetViews>
    <sheetView topLeftCell="AF41" workbookViewId="0">
      <selection activeCell="AR78" sqref="AR78"/>
    </sheetView>
  </sheetViews>
  <sheetFormatPr defaultRowHeight="12.75" x14ac:dyDescent="0.2"/>
  <cols>
    <col min="2" max="2" width="21" customWidth="1"/>
    <col min="3" max="3" width="11.140625" customWidth="1"/>
    <col min="4" max="4" width="24" customWidth="1"/>
    <col min="5" max="5" width="13.28515625" customWidth="1"/>
    <col min="6" max="6" width="14.28515625" customWidth="1"/>
    <col min="7" max="7" width="12.5703125" customWidth="1"/>
    <col min="8" max="8" width="9.140625" style="1"/>
    <col min="11" max="11" width="11.7109375" bestFit="1" customWidth="1"/>
    <col min="17" max="17" width="23.28515625" customWidth="1"/>
    <col min="18" max="18" width="9.140625" style="1"/>
    <col min="19" max="19" width="12.28515625" customWidth="1"/>
    <col min="20" max="20" width="24.28515625" customWidth="1"/>
    <col min="22" max="22" width="14.85546875" bestFit="1" customWidth="1"/>
    <col min="23" max="23" width="9.5703125" bestFit="1" customWidth="1"/>
    <col min="24" max="24" width="11.7109375" bestFit="1" customWidth="1"/>
    <col min="25" max="25" width="9.5703125" bestFit="1" customWidth="1"/>
    <col min="27" max="27" width="2.7109375" bestFit="1" customWidth="1"/>
    <col min="29" max="29" width="14.85546875" bestFit="1" customWidth="1"/>
    <col min="30" max="30" width="18.42578125" customWidth="1"/>
    <col min="32" max="32" width="14.85546875" bestFit="1" customWidth="1"/>
    <col min="33" max="33" width="14.7109375" bestFit="1" customWidth="1"/>
    <col min="34" max="34" width="11.7109375" bestFit="1" customWidth="1"/>
    <col min="37" max="37" width="2.7109375" bestFit="1" customWidth="1"/>
    <col min="39" max="39" width="14.85546875" bestFit="1" customWidth="1"/>
    <col min="40" max="40" width="19.85546875" customWidth="1"/>
    <col min="42" max="42" width="14.85546875" bestFit="1" customWidth="1"/>
    <col min="43" max="43" width="14.7109375" bestFit="1" customWidth="1"/>
    <col min="44" max="44" width="11.7109375" bestFit="1" customWidth="1"/>
    <col min="47" max="47" width="2.7109375" bestFit="1" customWidth="1"/>
  </cols>
  <sheetData>
    <row r="1" spans="2:47" x14ac:dyDescent="0.2">
      <c r="R1"/>
      <c r="U1" s="1"/>
    </row>
    <row r="2" spans="2:47" x14ac:dyDescent="0.2">
      <c r="E2" s="53"/>
      <c r="F2" s="53"/>
      <c r="R2"/>
      <c r="U2" s="1"/>
    </row>
    <row r="3" spans="2:47" ht="20.25" x14ac:dyDescent="0.3">
      <c r="B3" s="23" t="s">
        <v>102</v>
      </c>
      <c r="C3" s="23"/>
      <c r="D3" s="23"/>
      <c r="L3" s="24" t="s">
        <v>103</v>
      </c>
      <c r="R3"/>
      <c r="S3" s="23" t="s">
        <v>15</v>
      </c>
      <c r="U3" s="1"/>
    </row>
    <row r="4" spans="2:47" x14ac:dyDescent="0.2">
      <c r="R4"/>
      <c r="U4" s="1"/>
    </row>
    <row r="5" spans="2:47" ht="13.5" thickBot="1" x14ac:dyDescent="0.25">
      <c r="R5"/>
      <c r="S5" s="25">
        <v>2020</v>
      </c>
      <c r="T5" s="25"/>
      <c r="U5" s="26"/>
      <c r="V5" s="25"/>
      <c r="W5" s="25"/>
      <c r="X5" s="25"/>
      <c r="Y5" s="306" t="s">
        <v>95</v>
      </c>
      <c r="Z5" s="306"/>
      <c r="AA5" s="25"/>
      <c r="AC5" s="25">
        <v>2025</v>
      </c>
      <c r="AD5" s="25"/>
      <c r="AE5" s="26"/>
      <c r="AF5" s="25"/>
      <c r="AG5" s="25"/>
      <c r="AH5" s="25"/>
      <c r="AI5" s="306" t="s">
        <v>95</v>
      </c>
      <c r="AJ5" s="306"/>
      <c r="AK5" s="25"/>
      <c r="AM5" s="25">
        <v>2030</v>
      </c>
      <c r="AN5" s="25"/>
      <c r="AO5" s="26"/>
      <c r="AP5" s="25"/>
      <c r="AQ5" s="25"/>
      <c r="AR5" s="25"/>
      <c r="AS5" s="306" t="s">
        <v>95</v>
      </c>
      <c r="AT5" s="306"/>
      <c r="AU5" s="25"/>
    </row>
    <row r="6" spans="2:47" ht="13.5" thickTop="1" x14ac:dyDescent="0.2">
      <c r="B6" s="84" t="s">
        <v>0</v>
      </c>
      <c r="C6" s="1"/>
      <c r="F6" s="239" t="s">
        <v>246</v>
      </c>
      <c r="G6" s="168">
        <v>505.97745229059353</v>
      </c>
      <c r="H6" t="s">
        <v>245</v>
      </c>
      <c r="J6" s="2"/>
      <c r="R6"/>
      <c r="S6" s="25"/>
      <c r="T6" s="25"/>
      <c r="U6" s="26"/>
      <c r="V6" s="25"/>
      <c r="W6" s="25"/>
      <c r="X6" s="25"/>
      <c r="Y6" s="26"/>
      <c r="Z6" s="25"/>
      <c r="AA6" s="25"/>
      <c r="AC6" s="25"/>
      <c r="AD6" s="25"/>
      <c r="AE6" s="26"/>
      <c r="AF6" s="25"/>
      <c r="AG6" s="25"/>
      <c r="AH6" s="25"/>
      <c r="AI6" s="26"/>
      <c r="AJ6" s="25"/>
      <c r="AK6" s="25"/>
      <c r="AM6" s="25"/>
      <c r="AN6" s="25"/>
      <c r="AO6" s="26"/>
      <c r="AP6" s="25"/>
      <c r="AQ6" s="25"/>
      <c r="AR6" s="25"/>
      <c r="AS6" s="26"/>
      <c r="AT6" s="25"/>
      <c r="AU6" s="25"/>
    </row>
    <row r="7" spans="2:47" x14ac:dyDescent="0.2">
      <c r="G7" s="241"/>
      <c r="H7"/>
      <c r="R7"/>
      <c r="S7" s="25"/>
      <c r="T7" s="27" t="s">
        <v>16</v>
      </c>
      <c r="U7" s="26">
        <v>100</v>
      </c>
      <c r="V7" s="25"/>
      <c r="W7" s="25"/>
      <c r="X7" s="25"/>
      <c r="Y7" s="25"/>
      <c r="Z7" s="25"/>
      <c r="AA7" s="25"/>
      <c r="AC7" s="25"/>
      <c r="AD7" s="27" t="s">
        <v>16</v>
      </c>
      <c r="AE7" s="26">
        <v>100</v>
      </c>
      <c r="AF7" s="25"/>
      <c r="AG7" s="25"/>
      <c r="AH7" s="25"/>
      <c r="AI7" s="25"/>
      <c r="AJ7" s="25"/>
      <c r="AK7" s="25"/>
      <c r="AM7" s="25"/>
      <c r="AN7" s="27" t="s">
        <v>16</v>
      </c>
      <c r="AO7" s="26">
        <v>100</v>
      </c>
      <c r="AP7" s="25"/>
      <c r="AQ7" s="25"/>
      <c r="AR7" s="25"/>
      <c r="AS7" s="25"/>
      <c r="AT7" s="25"/>
      <c r="AU7" s="25"/>
    </row>
    <row r="8" spans="2:47" x14ac:dyDescent="0.2">
      <c r="B8" t="str">
        <f>'option 3.2 modernised pack targ'!B8</f>
        <v>increase 2015-2020</v>
      </c>
      <c r="C8" s="2">
        <f>(G16-$G$15)/$G$15*100</f>
        <v>1.2063318621560479</v>
      </c>
      <c r="D8" t="s">
        <v>2</v>
      </c>
      <c r="F8" s="9" t="s">
        <v>240</v>
      </c>
      <c r="G8" s="242">
        <v>501044066</v>
      </c>
      <c r="H8" t="s">
        <v>253</v>
      </c>
      <c r="R8"/>
      <c r="S8" s="27"/>
      <c r="T8" s="27" t="s">
        <v>17</v>
      </c>
      <c r="U8" s="28">
        <f>U7*C31</f>
        <v>78.366280390281759</v>
      </c>
      <c r="V8" s="25"/>
      <c r="W8" s="25"/>
      <c r="X8" s="25"/>
      <c r="Y8" s="25"/>
      <c r="Z8" s="25"/>
      <c r="AA8" s="25"/>
      <c r="AC8" s="27"/>
      <c r="AD8" s="27" t="s">
        <v>17</v>
      </c>
      <c r="AE8" s="28">
        <f>AE7*C31</f>
        <v>78.366280390281759</v>
      </c>
      <c r="AF8" s="25"/>
      <c r="AG8" s="25"/>
      <c r="AH8" s="25"/>
      <c r="AI8" s="25"/>
      <c r="AJ8" s="25"/>
      <c r="AK8" s="25"/>
      <c r="AM8" s="27"/>
      <c r="AN8" s="27" t="s">
        <v>17</v>
      </c>
      <c r="AO8" s="28">
        <f>AO7*C31</f>
        <v>78.366280390281759</v>
      </c>
      <c r="AP8" s="25"/>
      <c r="AQ8" s="25"/>
      <c r="AR8" s="25"/>
      <c r="AS8" s="25"/>
      <c r="AT8" s="25"/>
      <c r="AU8" s="25"/>
    </row>
    <row r="9" spans="2:47" x14ac:dyDescent="0.2">
      <c r="B9" t="str">
        <f>'option 3.2 modernised pack targ'!B9</f>
        <v>increase 2015-2025</v>
      </c>
      <c r="C9" s="2">
        <f t="shared" ref="C9:C10" si="0">(G17-$G$15)/$G$15*100</f>
        <v>2.139643990062944</v>
      </c>
      <c r="D9" t="s">
        <v>2</v>
      </c>
      <c r="F9" s="86" t="s">
        <v>241</v>
      </c>
      <c r="G9" s="242">
        <v>508234690</v>
      </c>
      <c r="H9" t="s">
        <v>253</v>
      </c>
      <c r="I9" s="1"/>
      <c r="J9" s="1"/>
      <c r="K9" s="1"/>
      <c r="R9"/>
      <c r="S9" s="27"/>
      <c r="T9" s="27" t="s">
        <v>19</v>
      </c>
      <c r="U9" s="28">
        <f>U7*C32</f>
        <v>21.633719609718238</v>
      </c>
      <c r="V9" s="25"/>
      <c r="W9" s="25"/>
      <c r="X9" s="25"/>
      <c r="Y9" s="26"/>
      <c r="Z9" s="25"/>
      <c r="AA9" s="25"/>
      <c r="AC9" s="27"/>
      <c r="AD9" s="27" t="s">
        <v>19</v>
      </c>
      <c r="AE9" s="28">
        <f>AE7*C32</f>
        <v>21.633719609718238</v>
      </c>
      <c r="AF9" s="25"/>
      <c r="AG9" s="25"/>
      <c r="AH9" s="25"/>
      <c r="AI9" s="26"/>
      <c r="AJ9" s="25"/>
      <c r="AK9" s="25"/>
      <c r="AM9" s="27"/>
      <c r="AN9" s="27" t="s">
        <v>19</v>
      </c>
      <c r="AO9" s="28">
        <f>AO7*C32</f>
        <v>21.633719609718238</v>
      </c>
      <c r="AP9" s="25"/>
      <c r="AQ9" s="25"/>
      <c r="AR9" s="25"/>
      <c r="AS9" s="26"/>
      <c r="AT9" s="25"/>
      <c r="AU9" s="25"/>
    </row>
    <row r="10" spans="2:47" x14ac:dyDescent="0.2">
      <c r="B10" t="str">
        <f>'option 3.2 modernised pack targ'!B10</f>
        <v>increase 2015-2030</v>
      </c>
      <c r="C10" s="2">
        <f t="shared" si="0"/>
        <v>2.77582842682384</v>
      </c>
      <c r="D10" t="s">
        <v>2</v>
      </c>
      <c r="F10" s="9" t="s">
        <v>242</v>
      </c>
      <c r="G10" s="242">
        <v>514365687</v>
      </c>
      <c r="H10" t="s">
        <v>253</v>
      </c>
      <c r="R10"/>
      <c r="S10" s="25"/>
      <c r="T10" s="25"/>
      <c r="U10" s="26"/>
      <c r="V10" s="25"/>
      <c r="W10" s="25"/>
      <c r="X10" s="25"/>
      <c r="Y10" s="26"/>
      <c r="Z10" s="25"/>
      <c r="AA10" s="25"/>
      <c r="AC10" s="25"/>
      <c r="AD10" s="25"/>
      <c r="AE10" s="26"/>
      <c r="AF10" s="25"/>
      <c r="AG10" s="25"/>
      <c r="AH10" s="25"/>
      <c r="AI10" s="26"/>
      <c r="AJ10" s="25"/>
      <c r="AK10" s="25"/>
      <c r="AM10" s="25"/>
      <c r="AN10" s="25"/>
      <c r="AO10" s="26"/>
      <c r="AP10" s="25"/>
      <c r="AQ10" s="25"/>
      <c r="AR10" s="25"/>
      <c r="AS10" s="26"/>
      <c r="AT10" s="25"/>
      <c r="AU10" s="25"/>
    </row>
    <row r="11" spans="2:47" x14ac:dyDescent="0.2">
      <c r="F11" s="9" t="s">
        <v>243</v>
      </c>
      <c r="G11" s="242">
        <v>519109103</v>
      </c>
      <c r="H11" t="s">
        <v>253</v>
      </c>
      <c r="R11"/>
      <c r="S11" s="25"/>
      <c r="T11" s="27" t="s">
        <v>18</v>
      </c>
      <c r="U11" s="28">
        <f>U8+U8*C8/100</f>
        <v>79.311637799816268</v>
      </c>
      <c r="V11" s="27"/>
      <c r="W11" s="26"/>
      <c r="X11" s="25"/>
      <c r="Y11" s="25"/>
      <c r="Z11" s="25"/>
      <c r="AA11" s="25"/>
      <c r="AC11" s="25"/>
      <c r="AD11" s="27" t="s">
        <v>171</v>
      </c>
      <c r="AE11" s="28">
        <f>AE8+AE8*C9/100</f>
        <v>80.043039798888302</v>
      </c>
      <c r="AF11" s="27"/>
      <c r="AG11" s="26"/>
      <c r="AH11" s="25"/>
      <c r="AI11" s="25"/>
      <c r="AJ11" s="25"/>
      <c r="AK11" s="25"/>
      <c r="AM11" s="25"/>
      <c r="AN11" s="27" t="s">
        <v>146</v>
      </c>
      <c r="AO11" s="28">
        <f>AO8+AO8*C10/100</f>
        <v>80.541593878399681</v>
      </c>
      <c r="AP11" s="27"/>
      <c r="AQ11" s="26"/>
      <c r="AR11" s="25"/>
      <c r="AS11" s="25"/>
      <c r="AT11" s="25"/>
      <c r="AU11" s="25"/>
    </row>
    <row r="12" spans="2:47" ht="13.5" thickBot="1" x14ac:dyDescent="0.25">
      <c r="F12" s="9" t="s">
        <v>244</v>
      </c>
      <c r="G12" s="243">
        <v>522342413</v>
      </c>
      <c r="H12" t="s">
        <v>253</v>
      </c>
      <c r="R12"/>
      <c r="S12" s="25"/>
      <c r="T12" s="27" t="s">
        <v>20</v>
      </c>
      <c r="U12" s="28">
        <f>U9+U9*C23/100</f>
        <v>21.633719609718238</v>
      </c>
      <c r="V12" s="27"/>
      <c r="W12" s="26"/>
      <c r="X12" s="25"/>
      <c r="Y12" s="25"/>
      <c r="Z12" s="25"/>
      <c r="AA12" s="25"/>
      <c r="AC12" s="25"/>
      <c r="AD12" s="27" t="s">
        <v>172</v>
      </c>
      <c r="AE12" s="28">
        <f>AE9+AE9*C24/100</f>
        <v>21.633719609718238</v>
      </c>
      <c r="AF12" s="27"/>
      <c r="AG12" s="26"/>
      <c r="AH12" s="25"/>
      <c r="AI12" s="25"/>
      <c r="AJ12" s="25"/>
      <c r="AK12" s="25"/>
      <c r="AM12" s="25"/>
      <c r="AN12" s="27" t="s">
        <v>147</v>
      </c>
      <c r="AO12" s="28">
        <f>AO9+AO9*C25/100</f>
        <v>21.633719609718238</v>
      </c>
      <c r="AP12" s="27"/>
      <c r="AQ12" s="26"/>
      <c r="AR12" s="25"/>
      <c r="AS12" s="25"/>
      <c r="AT12" s="25"/>
      <c r="AU12" s="25"/>
    </row>
    <row r="13" spans="2:47" ht="13.5" thickTop="1" x14ac:dyDescent="0.2">
      <c r="H13"/>
      <c r="R13"/>
      <c r="S13" s="25"/>
      <c r="T13" s="27" t="s">
        <v>98</v>
      </c>
      <c r="U13" s="28">
        <f>SUM(U11:U12)</f>
        <v>100.94535740953451</v>
      </c>
      <c r="V13" s="27"/>
      <c r="W13" s="26"/>
      <c r="X13" s="25"/>
      <c r="Y13" s="26"/>
      <c r="Z13" s="25"/>
      <c r="AA13" s="25"/>
      <c r="AC13" s="25"/>
      <c r="AD13" s="27" t="s">
        <v>173</v>
      </c>
      <c r="AE13" s="28">
        <f>SUM(AE11:AE12)</f>
        <v>101.67675940860654</v>
      </c>
      <c r="AF13" s="27"/>
      <c r="AG13" s="26"/>
      <c r="AH13" s="25"/>
      <c r="AI13" s="26"/>
      <c r="AJ13" s="25"/>
      <c r="AK13" s="25"/>
      <c r="AM13" s="25"/>
      <c r="AN13" s="27" t="s">
        <v>150</v>
      </c>
      <c r="AO13" s="28">
        <f>SUM(AO11:AO12)</f>
        <v>102.17531348811792</v>
      </c>
      <c r="AP13" s="27"/>
      <c r="AQ13" s="26"/>
      <c r="AR13" s="25"/>
      <c r="AS13" s="26"/>
      <c r="AT13" s="25"/>
      <c r="AU13" s="25"/>
    </row>
    <row r="14" spans="2:47" x14ac:dyDescent="0.2">
      <c r="F14" s="9" t="s">
        <v>248</v>
      </c>
      <c r="G14" s="240">
        <f>$G$6*G8/1000000</f>
        <v>253517</v>
      </c>
      <c r="H14" t="s">
        <v>247</v>
      </c>
      <c r="R14"/>
      <c r="S14" s="25"/>
      <c r="T14" s="27"/>
      <c r="U14" s="26"/>
      <c r="V14" s="27"/>
      <c r="W14" s="25"/>
      <c r="X14" s="25"/>
      <c r="Y14" s="25"/>
      <c r="Z14" s="25"/>
      <c r="AA14" s="25"/>
      <c r="AC14" s="25"/>
      <c r="AD14" s="27"/>
      <c r="AE14" s="26"/>
      <c r="AF14" s="27"/>
      <c r="AG14" s="25"/>
      <c r="AH14" s="25"/>
      <c r="AI14" s="25"/>
      <c r="AJ14" s="25"/>
      <c r="AK14" s="25"/>
      <c r="AM14" s="25"/>
      <c r="AN14" s="27"/>
      <c r="AO14" s="26"/>
      <c r="AP14" s="27"/>
      <c r="AQ14" s="25"/>
      <c r="AR14" s="25"/>
      <c r="AS14" s="25"/>
      <c r="AT14" s="25"/>
      <c r="AU14" s="25"/>
    </row>
    <row r="15" spans="2:47" x14ac:dyDescent="0.2">
      <c r="F15" s="9" t="s">
        <v>249</v>
      </c>
      <c r="G15" s="240">
        <f>$G$6*G9/1000000</f>
        <v>257155.2936118996</v>
      </c>
      <c r="H15" t="s">
        <v>247</v>
      </c>
      <c r="R15"/>
      <c r="S15" s="25"/>
      <c r="T15" s="27" t="s">
        <v>48</v>
      </c>
      <c r="U15" s="28">
        <f>U11*I74/100</f>
        <v>48.21333129568626</v>
      </c>
      <c r="V15" s="27"/>
      <c r="W15" s="25"/>
      <c r="X15" s="25"/>
      <c r="Y15" s="25"/>
      <c r="Z15" s="25"/>
      <c r="AA15" s="25"/>
      <c r="AC15" s="25"/>
      <c r="AD15" s="27" t="s">
        <v>48</v>
      </c>
      <c r="AE15" s="28">
        <f>AE11*I74/100</f>
        <v>48.657948603685774</v>
      </c>
      <c r="AF15" s="27"/>
      <c r="AG15" s="25"/>
      <c r="AH15" s="25"/>
      <c r="AI15" s="25"/>
      <c r="AJ15" s="25"/>
      <c r="AK15" s="25"/>
      <c r="AM15" s="25"/>
      <c r="AN15" s="27" t="s">
        <v>48</v>
      </c>
      <c r="AO15" s="28">
        <f>AO11*I74/100</f>
        <v>48.961018287670456</v>
      </c>
      <c r="AP15" s="27"/>
      <c r="AQ15" s="25"/>
      <c r="AR15" s="25"/>
      <c r="AS15" s="25"/>
      <c r="AT15" s="25"/>
      <c r="AU15" s="25"/>
    </row>
    <row r="16" spans="2:47" x14ac:dyDescent="0.2">
      <c r="F16" s="9" t="s">
        <v>250</v>
      </c>
      <c r="G16" s="240">
        <f>$G$6*G10/1000000</f>
        <v>260257.43985396088</v>
      </c>
      <c r="H16" t="s">
        <v>247</v>
      </c>
      <c r="R16"/>
      <c r="S16" s="25"/>
      <c r="T16" s="27" t="s">
        <v>46</v>
      </c>
      <c r="U16" s="28">
        <f>U12*I75/100</f>
        <v>1.5948329311237988</v>
      </c>
      <c r="V16" s="27"/>
      <c r="W16" s="25"/>
      <c r="X16" s="25"/>
      <c r="Y16" s="25"/>
      <c r="Z16" s="25"/>
      <c r="AA16" s="25"/>
      <c r="AC16" s="25"/>
      <c r="AD16" s="27" t="s">
        <v>46</v>
      </c>
      <c r="AE16" s="28">
        <f>AE12*I75/100</f>
        <v>1.5948329311237988</v>
      </c>
      <c r="AF16" s="27"/>
      <c r="AG16" s="25"/>
      <c r="AH16" s="25"/>
      <c r="AI16" s="25"/>
      <c r="AJ16" s="25"/>
      <c r="AK16" s="25"/>
      <c r="AM16" s="25"/>
      <c r="AN16" s="27" t="s">
        <v>46</v>
      </c>
      <c r="AO16" s="28">
        <f>AO12*I75/100</f>
        <v>1.5948329311237988</v>
      </c>
      <c r="AP16" s="27"/>
      <c r="AQ16" s="25"/>
      <c r="AR16" s="25"/>
      <c r="AS16" s="25"/>
      <c r="AT16" s="25"/>
      <c r="AU16" s="25"/>
    </row>
    <row r="17" spans="2:47" x14ac:dyDescent="0.2">
      <c r="F17" s="9" t="s">
        <v>251</v>
      </c>
      <c r="G17" s="240">
        <f>$G$6*G11/1000000</f>
        <v>262657.50139679533</v>
      </c>
      <c r="H17" t="s">
        <v>247</v>
      </c>
      <c r="R17"/>
      <c r="S17" s="25"/>
      <c r="T17" s="27"/>
      <c r="U17" s="26"/>
      <c r="V17" s="27"/>
      <c r="W17" s="25"/>
      <c r="X17" s="25"/>
      <c r="Y17" s="25" t="s">
        <v>100</v>
      </c>
      <c r="Z17" s="25" t="s">
        <v>101</v>
      </c>
      <c r="AA17" s="25"/>
      <c r="AC17" s="25"/>
      <c r="AD17" s="27"/>
      <c r="AE17" s="26"/>
      <c r="AF17" s="27"/>
      <c r="AG17" s="25"/>
      <c r="AH17" s="25"/>
      <c r="AI17" s="25" t="s">
        <v>100</v>
      </c>
      <c r="AJ17" s="25" t="s">
        <v>101</v>
      </c>
      <c r="AK17" s="25"/>
      <c r="AM17" s="25"/>
      <c r="AN17" s="27"/>
      <c r="AO17" s="26"/>
      <c r="AP17" s="27"/>
      <c r="AQ17" s="25"/>
      <c r="AR17" s="25"/>
      <c r="AS17" s="25" t="s">
        <v>100</v>
      </c>
      <c r="AT17" s="25" t="s">
        <v>101</v>
      </c>
      <c r="AU17" s="25"/>
    </row>
    <row r="18" spans="2:47" x14ac:dyDescent="0.2">
      <c r="F18" s="9" t="s">
        <v>252</v>
      </c>
      <c r="G18" s="240">
        <f>$G$6*G12/1000000</f>
        <v>264293.48335306102</v>
      </c>
      <c r="H18" t="s">
        <v>247</v>
      </c>
      <c r="R18"/>
      <c r="S18" s="25"/>
      <c r="T18" s="27" t="s">
        <v>25</v>
      </c>
      <c r="U18" s="28">
        <f>$U$11*H205/100</f>
        <v>48.440850012917345</v>
      </c>
      <c r="V18" s="27" t="s">
        <v>84</v>
      </c>
      <c r="W18" s="28">
        <f>G52</f>
        <v>18.07091566641526</v>
      </c>
      <c r="X18" s="25" t="s">
        <v>2</v>
      </c>
      <c r="Y18" s="28">
        <f>U18-U18*W18/100</f>
        <v>39.687144858988347</v>
      </c>
      <c r="Z18" s="28">
        <f>IF(Y18&lt;(Y26+Y34),Y18,(Y26+Y34))</f>
        <v>30.602251185136563</v>
      </c>
      <c r="AA18" s="25"/>
      <c r="AB18" s="58"/>
      <c r="AC18" s="25"/>
      <c r="AD18" s="27" t="s">
        <v>25</v>
      </c>
      <c r="AE18" s="28">
        <f>$AE$11*H205/100</f>
        <v>48.887565470056451</v>
      </c>
      <c r="AF18" s="27" t="s">
        <v>84</v>
      </c>
      <c r="AG18" s="28">
        <f>G52</f>
        <v>18.07091566641526</v>
      </c>
      <c r="AH18" s="25" t="s">
        <v>2</v>
      </c>
      <c r="AI18" s="28">
        <f>AE18-AE18*AG18/100</f>
        <v>40.053134742598999</v>
      </c>
      <c r="AJ18" s="28">
        <f>IF(AI18&lt;(AI26+AI34),AI18,(AI26+AI34))</f>
        <v>30.884461316131556</v>
      </c>
      <c r="AK18" s="25"/>
      <c r="AM18" s="25"/>
      <c r="AN18" s="27" t="s">
        <v>25</v>
      </c>
      <c r="AO18" s="28">
        <f>$AO$11*H205/100</f>
        <v>49.192065339922898</v>
      </c>
      <c r="AP18" s="27" t="s">
        <v>84</v>
      </c>
      <c r="AQ18" s="28">
        <f>G52</f>
        <v>18.07091566641526</v>
      </c>
      <c r="AR18" s="25" t="s">
        <v>2</v>
      </c>
      <c r="AS18" s="28">
        <f>AO18-AO18*AQ18/100</f>
        <v>40.302608697777544</v>
      </c>
      <c r="AT18" s="28">
        <f>IF(AS18&lt;(AS26+AS34),AS18,(AS26+AS34))</f>
        <v>31.076827500891099</v>
      </c>
      <c r="AU18" s="25"/>
    </row>
    <row r="19" spans="2:47" x14ac:dyDescent="0.2">
      <c r="C19" s="2"/>
      <c r="D19" s="2"/>
      <c r="F19" s="9"/>
      <c r="G19" s="240"/>
      <c r="H19"/>
      <c r="I19" s="2"/>
      <c r="J19" s="2"/>
      <c r="K19" s="2"/>
      <c r="R19"/>
      <c r="S19" s="25"/>
      <c r="T19" s="27" t="s">
        <v>26</v>
      </c>
      <c r="U19" s="28">
        <f>$U$11*H206/100</f>
        <v>2.3425272329454869</v>
      </c>
      <c r="V19" s="27" t="s">
        <v>84</v>
      </c>
      <c r="W19" s="28">
        <f>G53</f>
        <v>62.637372320935434</v>
      </c>
      <c r="X19" s="25" t="s">
        <v>2</v>
      </c>
      <c r="Y19" s="28">
        <f t="shared" ref="Y19:Y24" si="1">U19-U19*W19/100</f>
        <v>0.8752297283261159</v>
      </c>
      <c r="Z19" s="28">
        <f>IF(Y19&lt;(Y27+Y35),Y19,(Y27+Y35))</f>
        <v>0.40921960108767164</v>
      </c>
      <c r="AA19" s="25"/>
      <c r="AB19" s="58"/>
      <c r="AC19" s="25"/>
      <c r="AD19" s="27" t="s">
        <v>26</v>
      </c>
      <c r="AE19" s="28">
        <f t="shared" ref="AE19" si="2">$AE$11*H206/100</f>
        <v>2.3641297259539087</v>
      </c>
      <c r="AF19" s="27" t="s">
        <v>84</v>
      </c>
      <c r="AG19" s="28">
        <f t="shared" ref="AG19" si="3">G53</f>
        <v>62.637372320935434</v>
      </c>
      <c r="AH19" s="25" t="s">
        <v>2</v>
      </c>
      <c r="AI19" s="28">
        <f t="shared" ref="AI19:AI22" si="4">AE19-AE19*AG19/100</f>
        <v>0.88330098735824825</v>
      </c>
      <c r="AJ19" s="28">
        <f>IF(AI19&lt;(AI27+AI35),AI19,(AI27+AI35))</f>
        <v>0.41299337304091788</v>
      </c>
      <c r="AK19" s="25"/>
      <c r="AM19" s="25"/>
      <c r="AN19" s="27" t="s">
        <v>26</v>
      </c>
      <c r="AO19" s="28">
        <f t="shared" ref="AO19" si="5">$AO$11*H206/100</f>
        <v>2.3788548853472782</v>
      </c>
      <c r="AP19" s="27" t="s">
        <v>84</v>
      </c>
      <c r="AQ19" s="28">
        <f t="shared" ref="AQ19" si="6">G53</f>
        <v>62.637372320935434</v>
      </c>
      <c r="AR19" s="25" t="s">
        <v>2</v>
      </c>
      <c r="AS19" s="28">
        <f t="shared" ref="AS19:AS22" si="7">AO19-AO19*AQ19/100</f>
        <v>0.88880269383754196</v>
      </c>
      <c r="AT19" s="28">
        <f>IF(AS19&lt;(AS27+AS35),AS19,(AS27+AS35))</f>
        <v>0.4155657332543487</v>
      </c>
      <c r="AU19" s="25"/>
    </row>
    <row r="20" spans="2:47" x14ac:dyDescent="0.2">
      <c r="R20"/>
      <c r="S20" s="25"/>
      <c r="T20" s="27" t="s">
        <v>119</v>
      </c>
      <c r="U20" s="28">
        <f>$U$11*H208/100</f>
        <v>1.9426112046533668</v>
      </c>
      <c r="V20" s="27" t="s">
        <v>84</v>
      </c>
      <c r="W20" s="28">
        <f>G55</f>
        <v>72.569265762192984</v>
      </c>
      <c r="X20" s="25" t="s">
        <v>2</v>
      </c>
      <c r="Y20" s="28">
        <f t="shared" si="1"/>
        <v>0.53287251682232628</v>
      </c>
      <c r="Z20" s="28">
        <f>IF(Y20&lt;(Y28+Y36),Y20,(Y28+Y36))</f>
        <v>0.53287251682232628</v>
      </c>
      <c r="AA20" s="25"/>
      <c r="AB20" s="58"/>
      <c r="AC20" s="25"/>
      <c r="AD20" s="27" t="s">
        <v>119</v>
      </c>
      <c r="AE20" s="28">
        <f>$AE$11*H208/100</f>
        <v>1.9605257220926537</v>
      </c>
      <c r="AF20" s="27" t="s">
        <v>84</v>
      </c>
      <c r="AG20" s="28">
        <f>G55</f>
        <v>72.569265762192984</v>
      </c>
      <c r="AH20" s="25" t="s">
        <v>2</v>
      </c>
      <c r="AI20" s="28">
        <f t="shared" si="4"/>
        <v>0.53778660049108273</v>
      </c>
      <c r="AJ20" s="28">
        <f>IF(AI20&lt;(AI28+AI36),AI20,(AI28+AI36))</f>
        <v>0.53778660049108273</v>
      </c>
      <c r="AK20" s="25"/>
      <c r="AM20" s="25"/>
      <c r="AN20" s="27" t="s">
        <v>119</v>
      </c>
      <c r="AO20" s="28">
        <f>$AO$11*H208/100</f>
        <v>1.9727370036630703</v>
      </c>
      <c r="AP20" s="27" t="s">
        <v>84</v>
      </c>
      <c r="AQ20" s="28">
        <f>G55</f>
        <v>72.569265762192984</v>
      </c>
      <c r="AR20" s="25" t="s">
        <v>2</v>
      </c>
      <c r="AS20" s="28">
        <f t="shared" si="7"/>
        <v>0.54113624468569421</v>
      </c>
      <c r="AT20" s="28">
        <f>IF(AS20&lt;(AS28+AS36),AS20,(AS28+AS36))</f>
        <v>0.54113624468569421</v>
      </c>
      <c r="AU20" s="25"/>
    </row>
    <row r="21" spans="2:47" x14ac:dyDescent="0.2">
      <c r="B21" s="84" t="s">
        <v>5</v>
      </c>
      <c r="C21" s="53"/>
      <c r="R21"/>
      <c r="S21" s="25"/>
      <c r="T21" s="27" t="s">
        <v>120</v>
      </c>
      <c r="U21" s="28">
        <f>$U$11*H209/100</f>
        <v>0.35391259592116292</v>
      </c>
      <c r="V21" s="27" t="s">
        <v>84</v>
      </c>
      <c r="W21" s="28">
        <f>G56</f>
        <v>45.463182917761237</v>
      </c>
      <c r="X21" s="25" t="s">
        <v>2</v>
      </c>
      <c r="Y21" s="28">
        <f t="shared" si="1"/>
        <v>0.19301266506852741</v>
      </c>
      <c r="Z21" s="28">
        <f t="shared" ref="Z21" si="8">IF(Y21&lt;(Y29+Y37),Y21,(Y29+Y37))</f>
        <v>0.17471369632670095</v>
      </c>
      <c r="AA21" s="25"/>
      <c r="AB21" s="58"/>
      <c r="AC21" s="25"/>
      <c r="AD21" s="27" t="s">
        <v>120</v>
      </c>
      <c r="AE21" s="28">
        <f t="shared" ref="AE21:AE24" si="9">$AE$11*H209/100</f>
        <v>0.35717633359364498</v>
      </c>
      <c r="AF21" s="27" t="s">
        <v>84</v>
      </c>
      <c r="AG21" s="28">
        <f t="shared" ref="AG21:AG24" si="10">G56</f>
        <v>45.463182917761237</v>
      </c>
      <c r="AH21" s="25" t="s">
        <v>2</v>
      </c>
      <c r="AI21" s="28">
        <f t="shared" si="4"/>
        <v>0.19479260371301307</v>
      </c>
      <c r="AJ21" s="28">
        <f t="shared" ref="AJ21" si="11">IF(AI21&lt;(AI29+AI37),AI21,(AI29+AI37))</f>
        <v>0.17632488417130388</v>
      </c>
      <c r="AK21" s="25"/>
      <c r="AM21" s="25"/>
      <c r="AN21" s="27" t="s">
        <v>120</v>
      </c>
      <c r="AO21" s="28">
        <f t="shared" ref="AO21:AO24" si="12">$AO$11*H209/100</f>
        <v>0.35940103318858091</v>
      </c>
      <c r="AP21" s="27" t="s">
        <v>84</v>
      </c>
      <c r="AQ21" s="28">
        <f t="shared" ref="AQ21:AQ24" si="13">G56</f>
        <v>45.463182917761237</v>
      </c>
      <c r="AR21" s="25" t="s">
        <v>2</v>
      </c>
      <c r="AS21" s="28">
        <f t="shared" si="7"/>
        <v>0.19600588406173261</v>
      </c>
      <c r="AT21" s="28">
        <f t="shared" ref="AT21" si="14">IF(AS21&lt;(AS29+AS37),AS21,(AS29+AS37))</f>
        <v>0.17742313694311071</v>
      </c>
      <c r="AU21" s="25"/>
    </row>
    <row r="22" spans="2:47" ht="13.5" thickBot="1" x14ac:dyDescent="0.25">
      <c r="B22" t="str">
        <f>'option 3.2 modernised pack targ'!B15</f>
        <v>as in BAU</v>
      </c>
      <c r="H22" s="2"/>
      <c r="R22"/>
      <c r="S22" s="25"/>
      <c r="T22" s="27" t="s">
        <v>28</v>
      </c>
      <c r="U22" s="28">
        <f>$U$11*H210/100</f>
        <v>16.533395517335642</v>
      </c>
      <c r="V22" s="27" t="s">
        <v>84</v>
      </c>
      <c r="W22" s="28">
        <f>G57</f>
        <v>76.536285899483062</v>
      </c>
      <c r="X22" s="25" t="s">
        <v>2</v>
      </c>
      <c r="Y22" s="28">
        <f t="shared" si="1"/>
        <v>3.8793486552953187</v>
      </c>
      <c r="Z22" s="28">
        <f>IF(Y22&lt;(Y30+Y38),Y22,(Y30+Y38))</f>
        <v>3.8127243958542003</v>
      </c>
      <c r="AA22" s="25"/>
      <c r="AB22" s="58"/>
      <c r="AC22" s="25"/>
      <c r="AD22" s="27" t="s">
        <v>28</v>
      </c>
      <c r="AE22" s="28">
        <f t="shared" si="9"/>
        <v>16.685864421878374</v>
      </c>
      <c r="AF22" s="27" t="s">
        <v>84</v>
      </c>
      <c r="AG22" s="28">
        <f t="shared" si="10"/>
        <v>76.536285899483062</v>
      </c>
      <c r="AH22" s="25" t="s">
        <v>2</v>
      </c>
      <c r="AI22" s="28">
        <f t="shared" si="4"/>
        <v>3.9151235231494148</v>
      </c>
      <c r="AJ22" s="28">
        <f>IF(AI22&lt;(AI30+AI38),AI22,(AI30+AI38))</f>
        <v>3.847884863124805</v>
      </c>
      <c r="AK22" s="25"/>
      <c r="AM22" s="25"/>
      <c r="AN22" s="27" t="s">
        <v>28</v>
      </c>
      <c r="AO22" s="28">
        <f t="shared" si="12"/>
        <v>16.789793580473582</v>
      </c>
      <c r="AP22" s="27" t="s">
        <v>84</v>
      </c>
      <c r="AQ22" s="28">
        <f t="shared" si="13"/>
        <v>76.536285899483062</v>
      </c>
      <c r="AR22" s="25" t="s">
        <v>2</v>
      </c>
      <c r="AS22" s="28">
        <f t="shared" si="7"/>
        <v>3.9395091637892676</v>
      </c>
      <c r="AT22" s="28">
        <f>IF(AS22&lt;(AS30+AS38),AS22,(AS30+AS38))</f>
        <v>3.8718517027253614</v>
      </c>
      <c r="AU22" s="25"/>
    </row>
    <row r="23" spans="2:47" ht="13.5" thickTop="1" x14ac:dyDescent="0.2">
      <c r="B23" t="str">
        <f>'option 3.2 modernised pack targ'!B16</f>
        <v>increase 2015-2020</v>
      </c>
      <c r="C23" s="271">
        <v>0</v>
      </c>
      <c r="D23" t="str">
        <f>'option 3.2 modernised pack targ'!D16</f>
        <v>%</v>
      </c>
      <c r="E23" t="s">
        <v>271</v>
      </c>
      <c r="R23"/>
      <c r="S23" s="25"/>
      <c r="T23" s="27" t="s">
        <v>107</v>
      </c>
      <c r="U23" s="28">
        <f>$U$11*H211/100</f>
        <v>0.40469909109797014</v>
      </c>
      <c r="V23" s="27" t="s">
        <v>84</v>
      </c>
      <c r="W23" s="28">
        <v>0</v>
      </c>
      <c r="X23" s="25" t="s">
        <v>2</v>
      </c>
      <c r="Y23" s="28">
        <f>U23-U23*W23/100</f>
        <v>0.40469909109797014</v>
      </c>
      <c r="Z23" s="28">
        <f>IF(Y23&lt;(Y31+Y40),Y23,(Y31+Y40))</f>
        <v>0.40469909109797014</v>
      </c>
      <c r="AA23" s="25"/>
      <c r="AB23" s="58"/>
      <c r="AC23" s="25"/>
      <c r="AD23" s="27" t="s">
        <v>107</v>
      </c>
      <c r="AE23" s="28">
        <f t="shared" si="9"/>
        <v>0.40843117547376873</v>
      </c>
      <c r="AF23" s="27" t="s">
        <v>84</v>
      </c>
      <c r="AG23" s="28">
        <f t="shared" si="10"/>
        <v>0</v>
      </c>
      <c r="AH23" s="25" t="s">
        <v>2</v>
      </c>
      <c r="AI23" s="28">
        <f>AE23-AE23*AG23/100</f>
        <v>0.40843117547376873</v>
      </c>
      <c r="AJ23" s="28">
        <f>IF(AI23&lt;(AI31+AI40),AI23,(AI31+AI40))</f>
        <v>0.40843117547376873</v>
      </c>
      <c r="AK23" s="25"/>
      <c r="AM23" s="25"/>
      <c r="AN23" s="27" t="s">
        <v>107</v>
      </c>
      <c r="AO23" s="28">
        <f t="shared" si="12"/>
        <v>0.41097511969732259</v>
      </c>
      <c r="AP23" s="27" t="s">
        <v>84</v>
      </c>
      <c r="AQ23" s="28">
        <f t="shared" si="13"/>
        <v>0</v>
      </c>
      <c r="AR23" s="25" t="s">
        <v>2</v>
      </c>
      <c r="AS23" s="28">
        <f>AO23-AO23*AQ23/100</f>
        <v>0.41097511969732259</v>
      </c>
      <c r="AT23" s="28">
        <f>IF(AS23&lt;(AS31+AS40),AS23,(AS31+AS40))</f>
        <v>0.41097511969732259</v>
      </c>
      <c r="AU23" s="25"/>
    </row>
    <row r="24" spans="2:47" x14ac:dyDescent="0.2">
      <c r="B24" t="str">
        <f>'option 3.2 modernised pack targ'!B17</f>
        <v>increase 2015-2025</v>
      </c>
      <c r="C24" s="272">
        <v>0</v>
      </c>
      <c r="D24" t="str">
        <f>'option 3.2 modernised pack targ'!D17</f>
        <v>%</v>
      </c>
      <c r="R24"/>
      <c r="S24" s="25"/>
      <c r="T24" s="27" t="s">
        <v>29</v>
      </c>
      <c r="U24" s="28">
        <f>$U$11*H212/100</f>
        <v>9.2936421449452808</v>
      </c>
      <c r="V24" s="27" t="s">
        <v>84</v>
      </c>
      <c r="W24" s="28">
        <v>0</v>
      </c>
      <c r="X24" s="25" t="s">
        <v>2</v>
      </c>
      <c r="Y24" s="28">
        <f t="shared" si="1"/>
        <v>9.2936421449452808</v>
      </c>
      <c r="Z24" s="28">
        <f>IF(Y24&lt;(Y32+Y40),Y24,(Y32+Y40))</f>
        <v>9.2936421449452808</v>
      </c>
      <c r="AA24" s="25"/>
      <c r="AB24" s="58"/>
      <c r="AC24" s="25"/>
      <c r="AD24" s="27" t="s">
        <v>29</v>
      </c>
      <c r="AE24" s="28">
        <f t="shared" si="9"/>
        <v>9.3793469498394852</v>
      </c>
      <c r="AF24" s="27" t="s">
        <v>84</v>
      </c>
      <c r="AG24" s="28">
        <f t="shared" si="10"/>
        <v>0</v>
      </c>
      <c r="AH24" s="25" t="s">
        <v>2</v>
      </c>
      <c r="AI24" s="28">
        <f t="shared" ref="AI24" si="15">AE24-AE24*AG24/100</f>
        <v>9.3793469498394852</v>
      </c>
      <c r="AJ24" s="28">
        <f>IF(AI24&lt;(AI32+AI40),AI24,(AI32+AI40))</f>
        <v>9.3793469498394852</v>
      </c>
      <c r="AK24" s="25"/>
      <c r="AM24" s="25"/>
      <c r="AN24" s="27" t="s">
        <v>29</v>
      </c>
      <c r="AO24" s="28">
        <f t="shared" si="12"/>
        <v>9.4377669161069342</v>
      </c>
      <c r="AP24" s="27" t="s">
        <v>84</v>
      </c>
      <c r="AQ24" s="28">
        <f t="shared" si="13"/>
        <v>0</v>
      </c>
      <c r="AR24" s="25" t="s">
        <v>2</v>
      </c>
      <c r="AS24" s="28">
        <f t="shared" ref="AS24" si="16">AO24-AO24*AQ24/100</f>
        <v>9.4377669161069342</v>
      </c>
      <c r="AT24" s="28">
        <f>IF(AS24&lt;(AS32+AS40),AS24,(AS32+AS40))</f>
        <v>9.4377669161069342</v>
      </c>
      <c r="AU24" s="25"/>
    </row>
    <row r="25" spans="2:47" ht="13.5" thickBot="1" x14ac:dyDescent="0.25">
      <c r="B25" t="str">
        <f>'option 3.2 modernised pack targ'!B18</f>
        <v>increase 2015-2030</v>
      </c>
      <c r="C25" s="273">
        <v>0</v>
      </c>
      <c r="D25" t="str">
        <f>'option 3.2 modernised pack targ'!D18</f>
        <v>%</v>
      </c>
      <c r="E25" s="79"/>
      <c r="F25" s="79"/>
      <c r="G25" s="307"/>
      <c r="H25" s="80"/>
      <c r="I25" s="80"/>
      <c r="J25" s="80"/>
      <c r="K25" s="80"/>
      <c r="L25" s="79"/>
      <c r="M25" s="79"/>
      <c r="N25" s="79"/>
      <c r="O25" s="79"/>
      <c r="P25" s="79"/>
      <c r="Q25" s="79"/>
      <c r="R25"/>
      <c r="S25" s="25"/>
      <c r="T25" s="25"/>
      <c r="U25" s="26"/>
      <c r="V25" s="25"/>
      <c r="W25" s="25"/>
      <c r="X25" s="25"/>
      <c r="Y25" s="25"/>
      <c r="Z25" s="26"/>
      <c r="AA25" s="25"/>
      <c r="AB25" s="58"/>
      <c r="AC25" s="25"/>
      <c r="AD25" s="25"/>
      <c r="AE25" s="26"/>
      <c r="AF25" s="25"/>
      <c r="AG25" s="25"/>
      <c r="AH25" s="25"/>
      <c r="AI25" s="25"/>
      <c r="AJ25" s="26"/>
      <c r="AK25" s="25"/>
      <c r="AM25" s="25"/>
      <c r="AN25" s="25"/>
      <c r="AO25" s="26"/>
      <c r="AP25" s="25"/>
      <c r="AQ25" s="25"/>
      <c r="AR25" s="25"/>
      <c r="AS25" s="25"/>
      <c r="AT25" s="26"/>
      <c r="AU25" s="25"/>
    </row>
    <row r="26" spans="2:47" ht="13.5" thickTop="1" x14ac:dyDescent="0.2">
      <c r="D26" s="79"/>
      <c r="E26" s="11"/>
      <c r="F26" s="11"/>
      <c r="G26" s="307"/>
      <c r="H26" s="11"/>
      <c r="I26" s="11"/>
      <c r="J26" s="11"/>
      <c r="K26" s="11"/>
      <c r="L26" s="79"/>
      <c r="M26" s="11"/>
      <c r="N26" s="11"/>
      <c r="O26" s="11"/>
      <c r="P26" s="11"/>
      <c r="Q26" s="11"/>
      <c r="R26" s="11"/>
      <c r="S26" s="25"/>
      <c r="T26" s="27" t="s">
        <v>38</v>
      </c>
      <c r="U26" s="28">
        <f>$U$15*H131/100</f>
        <v>40.045018772550151</v>
      </c>
      <c r="V26" s="27" t="s">
        <v>84</v>
      </c>
      <c r="W26" s="28">
        <f>H165</f>
        <v>40.757616665240235</v>
      </c>
      <c r="X26" s="25" t="s">
        <v>2</v>
      </c>
      <c r="Y26" s="28">
        <f>U26-W26*U26/100</f>
        <v>23.723623527710672</v>
      </c>
      <c r="Z26" s="29" t="s">
        <v>97</v>
      </c>
      <c r="AA26" s="25"/>
      <c r="AB26" s="58"/>
      <c r="AC26" s="25"/>
      <c r="AD26" s="27" t="s">
        <v>38</v>
      </c>
      <c r="AE26" s="28">
        <f>$AE$15*H131/100</f>
        <v>40.414308924608861</v>
      </c>
      <c r="AF26" s="27" t="s">
        <v>84</v>
      </c>
      <c r="AG26" s="28">
        <f>H165</f>
        <v>40.757616665240235</v>
      </c>
      <c r="AH26" s="25" t="s">
        <v>2</v>
      </c>
      <c r="AI26" s="28">
        <f>AE26-AG26*AE26/100</f>
        <v>23.942399815210809</v>
      </c>
      <c r="AJ26" s="29" t="s">
        <v>97</v>
      </c>
      <c r="AK26" s="25"/>
      <c r="AM26" s="25"/>
      <c r="AN26" s="27" t="s">
        <v>38</v>
      </c>
      <c r="AO26" s="28">
        <f>$AO$15*H131/100</f>
        <v>40.666032480281181</v>
      </c>
      <c r="AP26" s="27" t="s">
        <v>84</v>
      </c>
      <c r="AQ26" s="28">
        <f>H165</f>
        <v>40.757616665240235</v>
      </c>
      <c r="AR26" s="25" t="s">
        <v>2</v>
      </c>
      <c r="AS26" s="28">
        <f>AO26-AQ26*AO26/100</f>
        <v>24.09152684900609</v>
      </c>
      <c r="AT26" s="29" t="s">
        <v>97</v>
      </c>
      <c r="AU26" s="25"/>
    </row>
    <row r="27" spans="2:47" x14ac:dyDescent="0.2">
      <c r="B27" s="81"/>
      <c r="C27" s="11"/>
      <c r="D27" s="11"/>
      <c r="E27" s="11"/>
      <c r="F27" s="11"/>
      <c r="G27" s="307"/>
      <c r="H27" s="11"/>
      <c r="I27" s="11"/>
      <c r="J27" s="11"/>
      <c r="K27" s="11"/>
      <c r="L27" s="79"/>
      <c r="M27" s="11"/>
      <c r="N27" s="11"/>
      <c r="O27" s="11"/>
      <c r="P27" s="11"/>
      <c r="Q27" s="11"/>
      <c r="R27" s="11"/>
      <c r="S27" s="25"/>
      <c r="T27" s="27" t="s">
        <v>39</v>
      </c>
      <c r="U27" s="28">
        <f>$U$15*H132/100</f>
        <v>2.042914102909525</v>
      </c>
      <c r="V27" s="27" t="s">
        <v>84</v>
      </c>
      <c r="W27" s="28">
        <f>H166</f>
        <v>85.448420841024998</v>
      </c>
      <c r="X27" s="25" t="s">
        <v>2</v>
      </c>
      <c r="Y27" s="28">
        <f t="shared" ref="Y27:Y32" si="17">U27-W27*U27/100</f>
        <v>0.29727626283474362</v>
      </c>
      <c r="Z27" s="29" t="s">
        <v>97</v>
      </c>
      <c r="AA27" s="25"/>
      <c r="AB27" s="58"/>
      <c r="AC27" s="25"/>
      <c r="AD27" s="27" t="s">
        <v>39</v>
      </c>
      <c r="AE27" s="28">
        <f t="shared" ref="AE27" si="18">$AE$15*H132/100</f>
        <v>2.0617536011250555</v>
      </c>
      <c r="AF27" s="27" t="s">
        <v>84</v>
      </c>
      <c r="AG27" s="28">
        <f>H166</f>
        <v>85.448420841024998</v>
      </c>
      <c r="AH27" s="25" t="s">
        <v>2</v>
      </c>
      <c r="AI27" s="28">
        <f t="shared" ref="AI27" si="19">AE27-AG27*AE27/100</f>
        <v>0.30001770733072997</v>
      </c>
      <c r="AJ27" s="29" t="s">
        <v>97</v>
      </c>
      <c r="AK27" s="25"/>
      <c r="AM27" s="25"/>
      <c r="AN27" s="27" t="s">
        <v>39</v>
      </c>
      <c r="AO27" s="28">
        <f t="shared" ref="AO27" si="20">$AO$15*H132/100</f>
        <v>2.074595388135779</v>
      </c>
      <c r="AP27" s="27" t="s">
        <v>84</v>
      </c>
      <c r="AQ27" s="28">
        <f>H166</f>
        <v>85.448420841024998</v>
      </c>
      <c r="AR27" s="25" t="s">
        <v>2</v>
      </c>
      <c r="AS27" s="28">
        <f t="shared" ref="AS27" si="21">AO27-AQ27*AO27/100</f>
        <v>0.30188639013302243</v>
      </c>
      <c r="AT27" s="29" t="s">
        <v>97</v>
      </c>
      <c r="AU27" s="25"/>
    </row>
    <row r="28" spans="2:47" x14ac:dyDescent="0.2">
      <c r="B28" s="81"/>
      <c r="C28" s="11"/>
      <c r="D28" s="11"/>
      <c r="E28" s="11"/>
      <c r="F28" s="11"/>
      <c r="G28" s="307"/>
      <c r="H28" s="308"/>
      <c r="I28" s="308"/>
      <c r="J28" s="308"/>
      <c r="K28" s="308"/>
      <c r="L28" s="79"/>
      <c r="M28" s="11"/>
      <c r="N28" s="79"/>
      <c r="O28" s="79"/>
      <c r="P28" s="79"/>
      <c r="Q28" s="79"/>
      <c r="R28"/>
      <c r="S28" s="25"/>
      <c r="T28" s="27" t="s">
        <v>115</v>
      </c>
      <c r="U28" s="28">
        <f>$U$15*H134/100</f>
        <v>1.6835534479762335</v>
      </c>
      <c r="V28" s="27" t="s">
        <v>84</v>
      </c>
      <c r="W28" s="28">
        <f>H168</f>
        <v>65.951915845184132</v>
      </c>
      <c r="X28" s="25" t="s">
        <v>2</v>
      </c>
      <c r="Y28" s="28">
        <f>U28-W28*U28/100</f>
        <v>0.57321769475825213</v>
      </c>
      <c r="Z28" s="29" t="s">
        <v>97</v>
      </c>
      <c r="AA28" s="25"/>
      <c r="AB28" s="58"/>
      <c r="AC28" s="25"/>
      <c r="AD28" s="27" t="s">
        <v>115</v>
      </c>
      <c r="AE28" s="28">
        <f>$AE$15*H134/100</f>
        <v>1.6990789672008193</v>
      </c>
      <c r="AF28" s="27" t="s">
        <v>84</v>
      </c>
      <c r="AG28" s="28">
        <f>H168</f>
        <v>65.951915845184132</v>
      </c>
      <c r="AH28" s="25" t="s">
        <v>2</v>
      </c>
      <c r="AI28" s="28">
        <f>AE28-AG28*AE28/100</f>
        <v>0.57850383660931115</v>
      </c>
      <c r="AJ28" s="29" t="s">
        <v>97</v>
      </c>
      <c r="AK28" s="25"/>
      <c r="AM28" s="25"/>
      <c r="AN28" s="27" t="s">
        <v>115</v>
      </c>
      <c r="AO28" s="28">
        <f>$AO$15*H134/100</f>
        <v>1.709661808040426</v>
      </c>
      <c r="AP28" s="27" t="s">
        <v>84</v>
      </c>
      <c r="AQ28" s="28">
        <f>H168</f>
        <v>65.951915845184132</v>
      </c>
      <c r="AR28" s="25" t="s">
        <v>2</v>
      </c>
      <c r="AS28" s="28">
        <f>AO28-AQ28*AO28/100</f>
        <v>0.58210709116435067</v>
      </c>
      <c r="AT28" s="29" t="s">
        <v>97</v>
      </c>
      <c r="AU28" s="25"/>
    </row>
    <row r="29" spans="2:47" x14ac:dyDescent="0.2">
      <c r="B29" s="4" t="str">
        <f>'option 3.2 modernised pack targ'!B23</f>
        <v>ratio industrial / consumer ML</v>
      </c>
      <c r="D29" s="82"/>
      <c r="E29" s="82"/>
      <c r="F29" s="82"/>
      <c r="G29" s="307"/>
      <c r="H29" s="11"/>
      <c r="I29" s="11"/>
      <c r="J29" s="11"/>
      <c r="K29" s="11"/>
      <c r="L29" s="79"/>
      <c r="M29" s="75"/>
      <c r="N29" s="11"/>
      <c r="O29" s="11"/>
      <c r="P29" s="11"/>
      <c r="Q29" s="11"/>
      <c r="R29" s="3"/>
      <c r="S29" s="25"/>
      <c r="T29" s="27" t="s">
        <v>116</v>
      </c>
      <c r="U29" s="28">
        <f>$U$15*H135/100</f>
        <v>0.30671642875220173</v>
      </c>
      <c r="V29" s="27" t="s">
        <v>84</v>
      </c>
      <c r="W29" s="28">
        <f>H167</f>
        <v>51.429269839244775</v>
      </c>
      <c r="X29" s="25" t="s">
        <v>2</v>
      </c>
      <c r="Y29" s="28">
        <f>U29-W29*U29/100</f>
        <v>0.14897440896793696</v>
      </c>
      <c r="Z29" s="29" t="s">
        <v>97</v>
      </c>
      <c r="AA29" s="25"/>
      <c r="AB29" s="58"/>
      <c r="AC29" s="25"/>
      <c r="AD29" s="27" t="s">
        <v>116</v>
      </c>
      <c r="AE29" s="28">
        <f t="shared" ref="AE29:AE32" si="22">$AE$15*H135/100</f>
        <v>0.30954492927697741</v>
      </c>
      <c r="AF29" s="27" t="s">
        <v>84</v>
      </c>
      <c r="AG29" s="28">
        <f>H167</f>
        <v>51.429269839244775</v>
      </c>
      <c r="AH29" s="25" t="s">
        <v>2</v>
      </c>
      <c r="AI29" s="28">
        <f>AE29-AG29*AE29/100</f>
        <v>0.1503482323254213</v>
      </c>
      <c r="AJ29" s="29" t="s">
        <v>97</v>
      </c>
      <c r="AK29" s="25"/>
      <c r="AM29" s="25"/>
      <c r="AN29" s="27" t="s">
        <v>116</v>
      </c>
      <c r="AO29" s="28">
        <f t="shared" ref="AO29:AO32" si="23">$AO$15*H135/100</f>
        <v>0.31147295309604828</v>
      </c>
      <c r="AP29" s="27" t="s">
        <v>84</v>
      </c>
      <c r="AQ29" s="28">
        <f>H167</f>
        <v>51.429269839244775</v>
      </c>
      <c r="AR29" s="25" t="s">
        <v>2</v>
      </c>
      <c r="AS29" s="28">
        <f>AO29-AQ29*AO29/100</f>
        <v>0.1512846875720173</v>
      </c>
      <c r="AT29" s="29" t="s">
        <v>97</v>
      </c>
      <c r="AU29" s="25"/>
    </row>
    <row r="30" spans="2:47" x14ac:dyDescent="0.2">
      <c r="B30" t="str">
        <f>'option 3.2 modernised pack targ'!B24</f>
        <v>as in BAU</v>
      </c>
      <c r="K30" s="193"/>
      <c r="L30" s="194"/>
      <c r="M30" s="194"/>
      <c r="N30" s="194"/>
      <c r="O30" s="194"/>
      <c r="P30" s="194"/>
      <c r="Q30" s="195"/>
      <c r="R30"/>
      <c r="S30" s="25"/>
      <c r="T30" s="27" t="s">
        <v>41</v>
      </c>
      <c r="U30" s="28">
        <f>$U$15*H136/100</f>
        <v>3.6039621212278097</v>
      </c>
      <c r="V30" s="27" t="s">
        <v>84</v>
      </c>
      <c r="W30" s="28">
        <f>H169</f>
        <v>78.384925180364874</v>
      </c>
      <c r="X30" s="25" t="s">
        <v>2</v>
      </c>
      <c r="Y30" s="28">
        <f t="shared" si="17"/>
        <v>0.77899910897470015</v>
      </c>
      <c r="Z30" s="29" t="s">
        <v>97</v>
      </c>
      <c r="AA30" s="25"/>
      <c r="AB30" s="58"/>
      <c r="AC30" s="25"/>
      <c r="AD30" s="27" t="s">
        <v>41</v>
      </c>
      <c r="AE30" s="28">
        <f t="shared" si="22"/>
        <v>3.6371974089254246</v>
      </c>
      <c r="AF30" s="27" t="s">
        <v>84</v>
      </c>
      <c r="AG30" s="28">
        <f>H169</f>
        <v>78.384925180364874</v>
      </c>
      <c r="AH30" s="25" t="s">
        <v>2</v>
      </c>
      <c r="AI30" s="28">
        <f t="shared" ref="AI30:AI32" si="24">AE30-AG30*AE30/100</f>
        <v>0.7861829412770609</v>
      </c>
      <c r="AJ30" s="29" t="s">
        <v>97</v>
      </c>
      <c r="AK30" s="25"/>
      <c r="AM30" s="25"/>
      <c r="AN30" s="27" t="s">
        <v>41</v>
      </c>
      <c r="AO30" s="28">
        <f t="shared" si="23"/>
        <v>3.6598519659083184</v>
      </c>
      <c r="AP30" s="27" t="s">
        <v>84</v>
      </c>
      <c r="AQ30" s="28">
        <f>H169</f>
        <v>78.384925180364874</v>
      </c>
      <c r="AR30" s="25" t="s">
        <v>2</v>
      </c>
      <c r="AS30" s="28">
        <f t="shared" ref="AS30:AS32" si="25">AO30-AQ30*AO30/100</f>
        <v>0.79107974071897003</v>
      </c>
      <c r="AT30" s="29" t="s">
        <v>97</v>
      </c>
      <c r="AU30" s="25"/>
    </row>
    <row r="31" spans="2:47" x14ac:dyDescent="0.2">
      <c r="B31" s="79" t="str">
        <f>'option 3.2 modernised pack targ'!B25</f>
        <v>consumer (MSW)</v>
      </c>
      <c r="C31" s="11">
        <f>'option 3.2 modernised pack targ'!C25</f>
        <v>0.78366280390281762</v>
      </c>
      <c r="K31" s="183" t="s">
        <v>213</v>
      </c>
      <c r="L31" s="79"/>
      <c r="M31" s="79"/>
      <c r="N31" s="79"/>
      <c r="O31" s="79"/>
      <c r="P31" s="79"/>
      <c r="Q31" s="184"/>
      <c r="R31"/>
      <c r="S31" s="25"/>
      <c r="T31" s="27" t="s">
        <v>105</v>
      </c>
      <c r="U31" s="28">
        <f>$U$15*H137/100</f>
        <v>0.35293740410400143</v>
      </c>
      <c r="V31" s="27" t="s">
        <v>84</v>
      </c>
      <c r="W31" s="28">
        <f>H170</f>
        <v>66.175203920019257</v>
      </c>
      <c r="X31" s="25" t="s">
        <v>2</v>
      </c>
      <c r="Y31" s="28">
        <f t="shared" si="17"/>
        <v>0.1193803572281561</v>
      </c>
      <c r="Z31" s="29" t="s">
        <v>97</v>
      </c>
      <c r="AA31" s="25"/>
      <c r="AB31" s="58"/>
      <c r="AC31" s="25"/>
      <c r="AD31" s="27" t="s">
        <v>105</v>
      </c>
      <c r="AE31" s="28">
        <f t="shared" si="22"/>
        <v>0.35619214867957688</v>
      </c>
      <c r="AF31" s="27" t="s">
        <v>84</v>
      </c>
      <c r="AG31" s="28">
        <f>H170</f>
        <v>66.175203920019257</v>
      </c>
      <c r="AH31" s="25" t="s">
        <v>2</v>
      </c>
      <c r="AI31" s="28">
        <f t="shared" si="24"/>
        <v>0.12048126794376871</v>
      </c>
      <c r="AJ31" s="29" t="s">
        <v>97</v>
      </c>
      <c r="AK31" s="25"/>
      <c r="AM31" s="25"/>
      <c r="AN31" s="27" t="s">
        <v>105</v>
      </c>
      <c r="AO31" s="28">
        <f t="shared" si="23"/>
        <v>0.35841071820492604</v>
      </c>
      <c r="AP31" s="27" t="s">
        <v>84</v>
      </c>
      <c r="AQ31" s="28">
        <f>H170</f>
        <v>66.175203920019257</v>
      </c>
      <c r="AR31" s="25" t="s">
        <v>2</v>
      </c>
      <c r="AS31" s="28">
        <f t="shared" si="25"/>
        <v>0.12123169456161065</v>
      </c>
      <c r="AT31" s="29" t="s">
        <v>97</v>
      </c>
      <c r="AU31" s="25"/>
    </row>
    <row r="32" spans="2:47" x14ac:dyDescent="0.2">
      <c r="B32" s="79" t="str">
        <f>'option 3.2 modernised pack targ'!B26</f>
        <v>industrial</v>
      </c>
      <c r="C32" s="11">
        <f>'option 3.2 modernised pack targ'!C26</f>
        <v>0.21633719609718238</v>
      </c>
      <c r="K32" s="183"/>
      <c r="L32" s="79"/>
      <c r="M32" s="79"/>
      <c r="N32" s="79"/>
      <c r="O32" s="79"/>
      <c r="P32" s="79"/>
      <c r="Q32" s="184"/>
      <c r="R32"/>
      <c r="S32" s="25"/>
      <c r="T32" s="27" t="s">
        <v>52</v>
      </c>
      <c r="U32" s="28">
        <f>$U$15*H138/100</f>
        <v>0.17822901816634296</v>
      </c>
      <c r="V32" s="27" t="s">
        <v>84</v>
      </c>
      <c r="W32" s="28">
        <v>0</v>
      </c>
      <c r="X32" s="25" t="s">
        <v>2</v>
      </c>
      <c r="Y32" s="28">
        <f t="shared" si="17"/>
        <v>0.17822901816634296</v>
      </c>
      <c r="Z32" s="29" t="s">
        <v>97</v>
      </c>
      <c r="AA32" s="25"/>
      <c r="AB32" s="58"/>
      <c r="AC32" s="25"/>
      <c r="AD32" s="27" t="s">
        <v>52</v>
      </c>
      <c r="AE32" s="28">
        <f t="shared" si="22"/>
        <v>0.17987262386905875</v>
      </c>
      <c r="AF32" s="27" t="s">
        <v>84</v>
      </c>
      <c r="AG32" s="28">
        <v>0</v>
      </c>
      <c r="AH32" s="25" t="s">
        <v>2</v>
      </c>
      <c r="AI32" s="28">
        <f t="shared" si="24"/>
        <v>0.17987262386905875</v>
      </c>
      <c r="AJ32" s="29" t="s">
        <v>97</v>
      </c>
      <c r="AK32" s="25"/>
      <c r="AM32" s="25"/>
      <c r="AN32" s="27" t="s">
        <v>52</v>
      </c>
      <c r="AO32" s="28">
        <f t="shared" si="23"/>
        <v>0.18099297400378192</v>
      </c>
      <c r="AP32" s="27" t="s">
        <v>84</v>
      </c>
      <c r="AQ32" s="28">
        <f t="shared" ref="AQ32" si="26">G171</f>
        <v>0</v>
      </c>
      <c r="AR32" s="25" t="s">
        <v>2</v>
      </c>
      <c r="AS32" s="28">
        <f t="shared" si="25"/>
        <v>0.18099297400378192</v>
      </c>
      <c r="AT32" s="29" t="s">
        <v>97</v>
      </c>
      <c r="AU32" s="25"/>
    </row>
    <row r="33" spans="2:47" x14ac:dyDescent="0.2">
      <c r="K33" s="183"/>
      <c r="L33" s="81" t="str">
        <f>'option 3.2 modernised pack targ'!J36</f>
        <v>% steel recycling</v>
      </c>
      <c r="M33" s="134">
        <f>'option 3.2 modernised pack targ'!K36</f>
        <v>88.788254177044905</v>
      </c>
      <c r="N33" s="79" t="s">
        <v>2</v>
      </c>
      <c r="O33" s="79"/>
      <c r="P33" s="79"/>
      <c r="Q33" s="184"/>
      <c r="R33"/>
      <c r="S33" s="25"/>
      <c r="T33" s="27"/>
      <c r="U33" s="26"/>
      <c r="V33" s="25"/>
      <c r="W33" s="25"/>
      <c r="X33" s="25"/>
      <c r="Y33" s="26"/>
      <c r="Z33" s="26"/>
      <c r="AA33" s="25"/>
      <c r="AB33" s="58"/>
      <c r="AC33" s="25"/>
      <c r="AD33" s="27"/>
      <c r="AE33" s="26"/>
      <c r="AF33" s="25"/>
      <c r="AG33" s="25"/>
      <c r="AH33" s="25"/>
      <c r="AI33" s="26"/>
      <c r="AJ33" s="26"/>
      <c r="AK33" s="25"/>
      <c r="AM33" s="25"/>
      <c r="AN33" s="27"/>
      <c r="AO33" s="26"/>
      <c r="AP33" s="25"/>
      <c r="AQ33" s="25"/>
      <c r="AR33" s="25"/>
      <c r="AS33" s="26"/>
      <c r="AT33" s="26"/>
      <c r="AU33" s="25"/>
    </row>
    <row r="34" spans="2:47" ht="13.5" thickBot="1" x14ac:dyDescent="0.25">
      <c r="B34" s="84" t="s">
        <v>22</v>
      </c>
      <c r="C34" s="53"/>
      <c r="D34">
        <v>2012</v>
      </c>
      <c r="E34" s="10">
        <v>24.434055020947763</v>
      </c>
      <c r="F34" t="s">
        <v>2</v>
      </c>
      <c r="K34" s="183"/>
      <c r="L34" s="81" t="str">
        <f>'option 3.2 modernised pack targ'!J37</f>
        <v>% alu recycling</v>
      </c>
      <c r="M34" s="134">
        <f>'option 3.2 modernised pack targ'!K37</f>
        <v>11.211745822955104</v>
      </c>
      <c r="N34" s="79" t="s">
        <v>2</v>
      </c>
      <c r="O34" s="79"/>
      <c r="P34" s="79"/>
      <c r="Q34" s="184"/>
      <c r="R34"/>
      <c r="S34" s="25"/>
      <c r="T34" s="27" t="s">
        <v>42</v>
      </c>
      <c r="U34" s="28">
        <f t="shared" ref="U34:U40" si="27">U18-U26</f>
        <v>8.395831240367194</v>
      </c>
      <c r="V34" s="27" t="s">
        <v>84</v>
      </c>
      <c r="W34" s="28">
        <f>W18</f>
        <v>18.07091566641526</v>
      </c>
      <c r="X34" s="25" t="s">
        <v>2</v>
      </c>
      <c r="Y34" s="28">
        <f>U34-W34*U34/100</f>
        <v>6.8786276574258922</v>
      </c>
      <c r="Z34" s="29" t="s">
        <v>97</v>
      </c>
      <c r="AA34" s="25"/>
      <c r="AB34" s="58"/>
      <c r="AC34" s="25"/>
      <c r="AD34" s="27" t="s">
        <v>42</v>
      </c>
      <c r="AE34" s="28">
        <f t="shared" ref="AE34:AE40" si="28">AE18-AE26</f>
        <v>8.4732565454475903</v>
      </c>
      <c r="AF34" s="27" t="s">
        <v>84</v>
      </c>
      <c r="AG34" s="28">
        <f>AG18</f>
        <v>18.07091566641526</v>
      </c>
      <c r="AH34" s="25" t="s">
        <v>2</v>
      </c>
      <c r="AI34" s="28">
        <f>AE34-AG34*AE34/100</f>
        <v>6.9420615009207456</v>
      </c>
      <c r="AJ34" s="29" t="s">
        <v>97</v>
      </c>
      <c r="AK34" s="25"/>
      <c r="AM34" s="25"/>
      <c r="AN34" s="27" t="s">
        <v>42</v>
      </c>
      <c r="AO34" s="28">
        <f t="shared" ref="AO34:AO40" si="29">AO18-AO26</f>
        <v>8.5260328596417168</v>
      </c>
      <c r="AP34" s="27" t="s">
        <v>84</v>
      </c>
      <c r="AQ34" s="28">
        <f>AQ18</f>
        <v>18.07091566641526</v>
      </c>
      <c r="AR34" s="25" t="s">
        <v>2</v>
      </c>
      <c r="AS34" s="28">
        <f>AO34-AQ34*AO34/100</f>
        <v>6.9853006518850087</v>
      </c>
      <c r="AT34" s="29" t="s">
        <v>97</v>
      </c>
      <c r="AU34" s="25"/>
    </row>
    <row r="35" spans="2:47" ht="14.25" thickTop="1" thickBot="1" x14ac:dyDescent="0.25">
      <c r="D35">
        <v>2020</v>
      </c>
      <c r="E35" s="152">
        <v>38.175047483084192</v>
      </c>
      <c r="F35" t="s">
        <v>2</v>
      </c>
      <c r="K35" s="183"/>
      <c r="L35" s="79" t="str">
        <f>'option 3.2 modernised pack targ'!I39</f>
        <v>Of all recycled metal packaging, 88,8% is steel packaging recycling</v>
      </c>
      <c r="M35" s="79"/>
      <c r="N35" s="79"/>
      <c r="O35" s="79"/>
      <c r="P35" s="79"/>
      <c r="Q35" s="184"/>
      <c r="R35"/>
      <c r="S35" s="25"/>
      <c r="T35" s="27" t="s">
        <v>43</v>
      </c>
      <c r="U35" s="28">
        <f t="shared" si="27"/>
        <v>0.29961313003596191</v>
      </c>
      <c r="V35" s="27" t="s">
        <v>84</v>
      </c>
      <c r="W35" s="28">
        <f>W19</f>
        <v>62.637372320935434</v>
      </c>
      <c r="X35" s="25" t="s">
        <v>2</v>
      </c>
      <c r="Y35" s="28">
        <f t="shared" ref="Y35:Y40" si="30">U35-W35*U35/100</f>
        <v>0.11194333825292799</v>
      </c>
      <c r="Z35" s="29" t="s">
        <v>97</v>
      </c>
      <c r="AA35" s="25"/>
      <c r="AB35" s="58"/>
      <c r="AC35" s="25"/>
      <c r="AD35" s="27" t="s">
        <v>43</v>
      </c>
      <c r="AE35" s="28">
        <f t="shared" si="28"/>
        <v>0.30237612482885323</v>
      </c>
      <c r="AF35" s="27" t="s">
        <v>84</v>
      </c>
      <c r="AG35" s="28">
        <f>AG19</f>
        <v>62.637372320935434</v>
      </c>
      <c r="AH35" s="25" t="s">
        <v>2</v>
      </c>
      <c r="AI35" s="28">
        <f t="shared" ref="AI35" si="31">AE35-AG35*AE35/100</f>
        <v>0.11297566571018794</v>
      </c>
      <c r="AJ35" s="29" t="s">
        <v>97</v>
      </c>
      <c r="AK35" s="25"/>
      <c r="AM35" s="25"/>
      <c r="AN35" s="27" t="s">
        <v>43</v>
      </c>
      <c r="AO35" s="28">
        <f t="shared" si="29"/>
        <v>0.30425949721149914</v>
      </c>
      <c r="AP35" s="27" t="s">
        <v>84</v>
      </c>
      <c r="AQ35" s="28">
        <f>AQ19</f>
        <v>62.637372320935434</v>
      </c>
      <c r="AR35" s="25" t="s">
        <v>2</v>
      </c>
      <c r="AS35" s="28">
        <f t="shared" ref="AS35" si="32">AO35-AQ35*AO35/100</f>
        <v>0.11367934312132627</v>
      </c>
      <c r="AT35" s="29" t="s">
        <v>97</v>
      </c>
      <c r="AU35" s="25"/>
    </row>
    <row r="36" spans="2:47" ht="13.5" thickTop="1" x14ac:dyDescent="0.2">
      <c r="E36" s="10"/>
      <c r="K36" s="183"/>
      <c r="L36" s="79" t="str">
        <f>'option 3.2 modernised pack targ'!I40</f>
        <v>We assume this ratio valid as well for non packaging MSW metal waste</v>
      </c>
      <c r="M36" s="79"/>
      <c r="N36" s="79"/>
      <c r="O36" s="79"/>
      <c r="P36" s="79"/>
      <c r="Q36" s="184"/>
      <c r="R36"/>
      <c r="S36" s="25"/>
      <c r="T36" s="27" t="s">
        <v>117</v>
      </c>
      <c r="U36" s="28">
        <f t="shared" si="27"/>
        <v>0.25905775667713327</v>
      </c>
      <c r="V36" s="27" t="s">
        <v>84</v>
      </c>
      <c r="W36" s="28">
        <f t="shared" ref="W36:W37" si="33">W20</f>
        <v>72.569265762192984</v>
      </c>
      <c r="X36" s="25" t="s">
        <v>2</v>
      </c>
      <c r="Y36" s="28">
        <f>U36-W36*U36/100</f>
        <v>7.1061444756529202E-2</v>
      </c>
      <c r="Z36" s="29" t="s">
        <v>97</v>
      </c>
      <c r="AA36" s="25"/>
      <c r="AB36" s="58"/>
      <c r="AC36" s="25"/>
      <c r="AD36" s="27" t="s">
        <v>117</v>
      </c>
      <c r="AE36" s="28">
        <f t="shared" si="28"/>
        <v>0.26144675489183444</v>
      </c>
      <c r="AF36" s="27" t="s">
        <v>84</v>
      </c>
      <c r="AG36" s="28">
        <f t="shared" ref="AG36:AG37" si="34">AG20</f>
        <v>72.569265762192984</v>
      </c>
      <c r="AH36" s="25" t="s">
        <v>2</v>
      </c>
      <c r="AI36" s="28">
        <f>AE36-AG36*AE36/100</f>
        <v>7.1716764507749803E-2</v>
      </c>
      <c r="AJ36" s="29" t="s">
        <v>97</v>
      </c>
      <c r="AK36" s="25"/>
      <c r="AM36" s="25"/>
      <c r="AN36" s="27" t="s">
        <v>117</v>
      </c>
      <c r="AO36" s="28">
        <f t="shared" si="29"/>
        <v>0.26307519562264425</v>
      </c>
      <c r="AP36" s="27" t="s">
        <v>84</v>
      </c>
      <c r="AQ36" s="28">
        <f t="shared" ref="AQ36:AQ37" si="35">AQ20</f>
        <v>72.569265762192984</v>
      </c>
      <c r="AR36" s="25" t="s">
        <v>2</v>
      </c>
      <c r="AS36" s="28">
        <f>AO36-AQ36*AO36/100</f>
        <v>7.2163457756838467E-2</v>
      </c>
      <c r="AT36" s="29" t="s">
        <v>97</v>
      </c>
      <c r="AU36" s="25"/>
    </row>
    <row r="37" spans="2:47" x14ac:dyDescent="0.2">
      <c r="C37" s="9"/>
      <c r="E37" s="34"/>
      <c r="K37" s="183"/>
      <c r="L37" s="81" t="str">
        <f>'option 3.2 modernised pack targ'!J42</f>
        <v>% steel packaging</v>
      </c>
      <c r="M37" s="134">
        <f>'option 3.2 modernised pack targ'!K42</f>
        <v>84.589204090433412</v>
      </c>
      <c r="N37" s="79" t="s">
        <v>2</v>
      </c>
      <c r="O37" s="79"/>
      <c r="P37" s="79"/>
      <c r="Q37" s="184"/>
      <c r="R37"/>
      <c r="S37" s="25"/>
      <c r="T37" s="27" t="s">
        <v>118</v>
      </c>
      <c r="U37" s="28">
        <f t="shared" si="27"/>
        <v>4.7196167168961189E-2</v>
      </c>
      <c r="V37" s="27" t="s">
        <v>84</v>
      </c>
      <c r="W37" s="28">
        <f t="shared" si="33"/>
        <v>45.463182917761237</v>
      </c>
      <c r="X37" s="25" t="s">
        <v>2</v>
      </c>
      <c r="Y37" s="28">
        <f t="shared" ref="Y37" si="36">U37-W37*U37/100</f>
        <v>2.5739287358763987E-2</v>
      </c>
      <c r="Z37" s="29" t="s">
        <v>97</v>
      </c>
      <c r="AA37" s="25"/>
      <c r="AB37" s="58"/>
      <c r="AC37" s="25"/>
      <c r="AD37" s="27" t="s">
        <v>118</v>
      </c>
      <c r="AE37" s="28">
        <f t="shared" si="28"/>
        <v>4.7631404316667569E-2</v>
      </c>
      <c r="AF37" s="27" t="s">
        <v>84</v>
      </c>
      <c r="AG37" s="28">
        <f t="shared" si="34"/>
        <v>45.463182917761237</v>
      </c>
      <c r="AH37" s="25" t="s">
        <v>2</v>
      </c>
      <c r="AI37" s="28">
        <f t="shared" ref="AI37:AI40" si="37">AE37-AG37*AE37/100</f>
        <v>2.5976651845882572E-2</v>
      </c>
      <c r="AJ37" s="29" t="s">
        <v>97</v>
      </c>
      <c r="AK37" s="25"/>
      <c r="AM37" s="25"/>
      <c r="AN37" s="27" t="s">
        <v>118</v>
      </c>
      <c r="AO37" s="28">
        <f t="shared" si="29"/>
        <v>4.7928080092532632E-2</v>
      </c>
      <c r="AP37" s="27" t="s">
        <v>84</v>
      </c>
      <c r="AQ37" s="28">
        <f t="shared" si="35"/>
        <v>45.463182917761237</v>
      </c>
      <c r="AR37" s="25" t="s">
        <v>2</v>
      </c>
      <c r="AS37" s="28">
        <f t="shared" ref="AS37:AS40" si="38">AO37-AQ37*AO37/100</f>
        <v>2.6138449371093414E-2</v>
      </c>
      <c r="AT37" s="29" t="s">
        <v>97</v>
      </c>
      <c r="AU37" s="25"/>
    </row>
    <row r="38" spans="2:47" x14ac:dyDescent="0.2">
      <c r="E38" s="34"/>
      <c r="K38" s="183"/>
      <c r="L38" s="81" t="str">
        <f>'option 3.2 modernised pack targ'!J43</f>
        <v>% alu packaging</v>
      </c>
      <c r="M38" s="134">
        <f>'option 3.2 modernised pack targ'!K43</f>
        <v>15.410795909566593</v>
      </c>
      <c r="N38" s="79" t="s">
        <v>2</v>
      </c>
      <c r="O38" s="79"/>
      <c r="P38" s="79"/>
      <c r="Q38" s="184"/>
      <c r="R38"/>
      <c r="S38" s="25"/>
      <c r="T38" s="27" t="s">
        <v>45</v>
      </c>
      <c r="U38" s="28">
        <f t="shared" si="27"/>
        <v>12.929433396107832</v>
      </c>
      <c r="V38" s="27" t="s">
        <v>84</v>
      </c>
      <c r="W38" s="28">
        <f>W22</f>
        <v>76.536285899483062</v>
      </c>
      <c r="X38" s="25" t="s">
        <v>2</v>
      </c>
      <c r="Y38" s="28">
        <f t="shared" si="30"/>
        <v>3.0337252868795002</v>
      </c>
      <c r="Z38" s="29" t="s">
        <v>97</v>
      </c>
      <c r="AA38" s="25"/>
      <c r="AB38" s="58"/>
      <c r="AC38" s="25"/>
      <c r="AD38" s="27" t="s">
        <v>45</v>
      </c>
      <c r="AE38" s="28">
        <f t="shared" si="28"/>
        <v>13.048667012952951</v>
      </c>
      <c r="AF38" s="27" t="s">
        <v>84</v>
      </c>
      <c r="AG38" s="28">
        <f>AG22</f>
        <v>76.536285899483062</v>
      </c>
      <c r="AH38" s="25" t="s">
        <v>2</v>
      </c>
      <c r="AI38" s="28">
        <f t="shared" si="37"/>
        <v>3.0617019218477441</v>
      </c>
      <c r="AJ38" s="29" t="s">
        <v>97</v>
      </c>
      <c r="AK38" s="25"/>
      <c r="AM38" s="25"/>
      <c r="AN38" s="27" t="s">
        <v>45</v>
      </c>
      <c r="AO38" s="28">
        <f t="shared" si="29"/>
        <v>13.129941614565263</v>
      </c>
      <c r="AP38" s="27" t="s">
        <v>84</v>
      </c>
      <c r="AQ38" s="28">
        <f>AQ22</f>
        <v>76.536285899483062</v>
      </c>
      <c r="AR38" s="25" t="s">
        <v>2</v>
      </c>
      <c r="AS38" s="28">
        <f t="shared" si="38"/>
        <v>3.0807719620063914</v>
      </c>
      <c r="AT38" s="29" t="s">
        <v>97</v>
      </c>
      <c r="AU38" s="25"/>
    </row>
    <row r="39" spans="2:47" x14ac:dyDescent="0.2">
      <c r="E39" s="34"/>
      <c r="K39" s="183"/>
      <c r="L39" s="79" t="str">
        <f>'option 3.2 modernised pack targ'!I45</f>
        <v>Of all generated metal packaging, 84,6% is steel packaging</v>
      </c>
      <c r="M39" s="79"/>
      <c r="N39" s="79"/>
      <c r="O39" s="79"/>
      <c r="P39" s="79"/>
      <c r="Q39" s="184"/>
      <c r="R39"/>
      <c r="S39" s="25"/>
      <c r="T39" s="27" t="s">
        <v>108</v>
      </c>
      <c r="U39" s="28">
        <f t="shared" si="27"/>
        <v>5.1761686993968714E-2</v>
      </c>
      <c r="V39" s="27" t="s">
        <v>84</v>
      </c>
      <c r="W39" s="28">
        <f>W23</f>
        <v>0</v>
      </c>
      <c r="X39" s="25" t="s">
        <v>2</v>
      </c>
      <c r="Y39" s="28">
        <f t="shared" si="30"/>
        <v>5.1761686993968714E-2</v>
      </c>
      <c r="Z39" s="29" t="s">
        <v>97</v>
      </c>
      <c r="AA39" s="25"/>
      <c r="AC39" s="25"/>
      <c r="AD39" s="27" t="s">
        <v>108</v>
      </c>
      <c r="AE39" s="28">
        <f t="shared" si="28"/>
        <v>5.2239026794191845E-2</v>
      </c>
      <c r="AF39" s="27" t="s">
        <v>84</v>
      </c>
      <c r="AG39" s="28">
        <f>AG23</f>
        <v>0</v>
      </c>
      <c r="AH39" s="25" t="s">
        <v>2</v>
      </c>
      <c r="AI39" s="28">
        <f t="shared" si="37"/>
        <v>5.2239026794191845E-2</v>
      </c>
      <c r="AJ39" s="29" t="s">
        <v>97</v>
      </c>
      <c r="AK39" s="25"/>
      <c r="AM39" s="25"/>
      <c r="AN39" s="27" t="s">
        <v>108</v>
      </c>
      <c r="AO39" s="28">
        <f t="shared" si="29"/>
        <v>5.2564401492396551E-2</v>
      </c>
      <c r="AP39" s="27" t="s">
        <v>84</v>
      </c>
      <c r="AQ39" s="28">
        <f>AQ23</f>
        <v>0</v>
      </c>
      <c r="AR39" s="25" t="s">
        <v>2</v>
      </c>
      <c r="AS39" s="28">
        <f t="shared" si="38"/>
        <v>5.2564401492396551E-2</v>
      </c>
      <c r="AT39" s="29" t="s">
        <v>97</v>
      </c>
      <c r="AU39" s="25"/>
    </row>
    <row r="40" spans="2:47" x14ac:dyDescent="0.2">
      <c r="E40" s="34"/>
      <c r="K40" s="183"/>
      <c r="L40" s="79" t="str">
        <f>'option 3.2 modernised pack targ'!I46</f>
        <v>We assume this ratio valid as well for non packaging MSW metal waste</v>
      </c>
      <c r="M40" s="79"/>
      <c r="N40" s="79"/>
      <c r="O40" s="79"/>
      <c r="P40" s="79"/>
      <c r="Q40" s="184"/>
      <c r="R40"/>
      <c r="S40" s="25"/>
      <c r="T40" s="27" t="s">
        <v>96</v>
      </c>
      <c r="U40" s="28">
        <f t="shared" si="27"/>
        <v>9.1154131267789378</v>
      </c>
      <c r="V40" s="27" t="s">
        <v>84</v>
      </c>
      <c r="W40" s="28">
        <v>0</v>
      </c>
      <c r="X40" s="25" t="s">
        <v>2</v>
      </c>
      <c r="Y40" s="28">
        <f t="shared" si="30"/>
        <v>9.1154131267789378</v>
      </c>
      <c r="Z40" s="29" t="s">
        <v>97</v>
      </c>
      <c r="AA40" s="25"/>
      <c r="AC40" s="25"/>
      <c r="AD40" s="27" t="s">
        <v>96</v>
      </c>
      <c r="AE40" s="28">
        <f t="shared" si="28"/>
        <v>9.1994743259704261</v>
      </c>
      <c r="AF40" s="27" t="s">
        <v>84</v>
      </c>
      <c r="AG40" s="28">
        <v>0</v>
      </c>
      <c r="AH40" s="25" t="s">
        <v>2</v>
      </c>
      <c r="AI40" s="28">
        <f t="shared" si="37"/>
        <v>9.1994743259704261</v>
      </c>
      <c r="AJ40" s="29" t="s">
        <v>97</v>
      </c>
      <c r="AK40" s="25"/>
      <c r="AM40" s="25"/>
      <c r="AN40" s="27" t="s">
        <v>96</v>
      </c>
      <c r="AO40" s="28">
        <f t="shared" si="29"/>
        <v>9.2567739421031519</v>
      </c>
      <c r="AP40" s="27" t="s">
        <v>84</v>
      </c>
      <c r="AQ40" s="28">
        <v>0</v>
      </c>
      <c r="AR40" s="25" t="s">
        <v>2</v>
      </c>
      <c r="AS40" s="28">
        <f t="shared" si="38"/>
        <v>9.2567739421031519</v>
      </c>
      <c r="AT40" s="29" t="s">
        <v>97</v>
      </c>
      <c r="AU40" s="25"/>
    </row>
    <row r="41" spans="2:47" x14ac:dyDescent="0.2">
      <c r="E41" s="10"/>
      <c r="K41" s="183"/>
      <c r="L41" s="79"/>
      <c r="M41" s="79"/>
      <c r="N41" s="79"/>
      <c r="O41" s="79"/>
      <c r="P41" s="79"/>
      <c r="Q41" s="184"/>
      <c r="R41"/>
      <c r="S41" s="25"/>
      <c r="T41" s="25"/>
      <c r="U41" s="26"/>
      <c r="V41" s="25"/>
      <c r="W41" s="25"/>
      <c r="X41" s="25"/>
      <c r="Y41" s="26"/>
      <c r="Z41" s="26"/>
      <c r="AA41" s="25"/>
      <c r="AC41" s="25"/>
      <c r="AD41" s="25"/>
      <c r="AE41" s="26"/>
      <c r="AF41" s="25"/>
      <c r="AG41" s="25"/>
      <c r="AH41" s="25"/>
      <c r="AI41" s="26"/>
      <c r="AJ41" s="26"/>
      <c r="AK41" s="25"/>
      <c r="AM41" s="25"/>
      <c r="AN41" s="25"/>
      <c r="AO41" s="26"/>
      <c r="AP41" s="25"/>
      <c r="AQ41" s="25"/>
      <c r="AR41" s="25"/>
      <c r="AS41" s="26"/>
      <c r="AT41" s="26"/>
      <c r="AU41" s="25"/>
    </row>
    <row r="42" spans="2:47" x14ac:dyDescent="0.2">
      <c r="B42" s="84" t="s">
        <v>61</v>
      </c>
      <c r="C42" s="53"/>
      <c r="E42" s="10"/>
      <c r="K42" s="183"/>
      <c r="L42" s="79"/>
      <c r="M42" s="79"/>
      <c r="N42" s="79"/>
      <c r="O42" s="79"/>
      <c r="P42" s="79"/>
      <c r="Q42" s="184"/>
      <c r="R42"/>
      <c r="S42" s="25"/>
      <c r="T42" s="27" t="s">
        <v>47</v>
      </c>
      <c r="U42" s="28">
        <f>$U$16*H141/100</f>
        <v>1.2163225000238429</v>
      </c>
      <c r="V42" s="27" t="s">
        <v>84</v>
      </c>
      <c r="W42" s="28">
        <f>W26</f>
        <v>40.757616665240235</v>
      </c>
      <c r="X42" s="25" t="s">
        <v>2</v>
      </c>
      <c r="Y42" s="25"/>
      <c r="Z42" s="28">
        <f>U42-W42*U42/100</f>
        <v>0.72057843805105848</v>
      </c>
      <c r="AA42" s="25"/>
      <c r="AB42" s="58"/>
      <c r="AC42" s="25"/>
      <c r="AD42" s="27" t="s">
        <v>47</v>
      </c>
      <c r="AE42" s="28">
        <f>$AE$16*H141/100</f>
        <v>1.2163225000238429</v>
      </c>
      <c r="AF42" s="27" t="s">
        <v>84</v>
      </c>
      <c r="AG42" s="28">
        <f>AG26</f>
        <v>40.757616665240235</v>
      </c>
      <c r="AH42" s="25" t="s">
        <v>2</v>
      </c>
      <c r="AI42" s="25"/>
      <c r="AJ42" s="28">
        <f>AE42-AG42*AE42/100</f>
        <v>0.72057843805105848</v>
      </c>
      <c r="AK42" s="25"/>
      <c r="AM42" s="25"/>
      <c r="AN42" s="27" t="s">
        <v>47</v>
      </c>
      <c r="AO42" s="28">
        <f>$AO$16*H141/100</f>
        <v>1.2163225000238429</v>
      </c>
      <c r="AP42" s="27" t="s">
        <v>84</v>
      </c>
      <c r="AQ42" s="28">
        <f>AQ26</f>
        <v>40.757616665240235</v>
      </c>
      <c r="AR42" s="25" t="s">
        <v>2</v>
      </c>
      <c r="AS42" s="25"/>
      <c r="AT42" s="28">
        <f>AO42-AQ42*AO42/100</f>
        <v>0.72057843805105848</v>
      </c>
      <c r="AU42" s="25"/>
    </row>
    <row r="43" spans="2:47" ht="13.5" thickBot="1" x14ac:dyDescent="0.25">
      <c r="D43">
        <v>2012</v>
      </c>
      <c r="E43">
        <v>2020</v>
      </c>
      <c r="K43" s="183"/>
      <c r="L43" s="79"/>
      <c r="M43" s="79"/>
      <c r="N43" s="79"/>
      <c r="O43" s="79"/>
      <c r="P43" s="79"/>
      <c r="Q43" s="184"/>
      <c r="R43"/>
      <c r="S43" s="25"/>
      <c r="T43" s="27" t="s">
        <v>49</v>
      </c>
      <c r="U43" s="28">
        <f>$U$16*H142/100</f>
        <v>0</v>
      </c>
      <c r="V43" s="27" t="s">
        <v>84</v>
      </c>
      <c r="W43" s="28">
        <f t="shared" ref="W43:W48" si="39">W27</f>
        <v>85.448420841024998</v>
      </c>
      <c r="X43" s="25" t="s">
        <v>2</v>
      </c>
      <c r="Y43" s="25"/>
      <c r="Z43" s="28">
        <f>U43-W43*U43/100</f>
        <v>0</v>
      </c>
      <c r="AA43" s="25"/>
      <c r="AB43" s="58"/>
      <c r="AC43" s="25"/>
      <c r="AD43" s="27" t="s">
        <v>49</v>
      </c>
      <c r="AE43" s="28">
        <f>$AE$16*H142/100</f>
        <v>0</v>
      </c>
      <c r="AF43" s="27" t="s">
        <v>84</v>
      </c>
      <c r="AG43" s="28">
        <f t="shared" ref="AG43:AG48" si="40">AG27</f>
        <v>85.448420841024998</v>
      </c>
      <c r="AH43" s="25" t="s">
        <v>2</v>
      </c>
      <c r="AI43" s="25"/>
      <c r="AJ43" s="28">
        <f>AE43-AG43*AE43/100</f>
        <v>0</v>
      </c>
      <c r="AK43" s="25"/>
      <c r="AM43" s="25"/>
      <c r="AN43" s="27" t="s">
        <v>49</v>
      </c>
      <c r="AO43" s="28">
        <f t="shared" ref="AO43" si="41">$AO$16*H142/100</f>
        <v>0</v>
      </c>
      <c r="AP43" s="27" t="s">
        <v>84</v>
      </c>
      <c r="AQ43" s="28">
        <f t="shared" ref="AQ43:AQ48" si="42">AQ27</f>
        <v>85.448420841024998</v>
      </c>
      <c r="AR43" s="25" t="s">
        <v>2</v>
      </c>
      <c r="AS43" s="25"/>
      <c r="AT43" s="28">
        <f>AO43-AQ43*AO43/100</f>
        <v>0</v>
      </c>
      <c r="AU43" s="25"/>
    </row>
    <row r="44" spans="2:47" ht="13.5" thickTop="1" x14ac:dyDescent="0.2">
      <c r="C44" t="s">
        <v>62</v>
      </c>
      <c r="D44" s="10">
        <f>'option 2 single calculation met'!D44</f>
        <v>7.1411729039646969</v>
      </c>
      <c r="E44" s="130">
        <v>23.921613237311607</v>
      </c>
      <c r="K44" s="178">
        <v>100</v>
      </c>
      <c r="L44" s="79" t="s">
        <v>76</v>
      </c>
      <c r="M44" s="79"/>
      <c r="N44" s="79"/>
      <c r="O44" s="79"/>
      <c r="P44" s="79"/>
      <c r="Q44" s="184"/>
      <c r="R44"/>
      <c r="S44" s="25"/>
      <c r="T44" s="27" t="s">
        <v>121</v>
      </c>
      <c r="U44" s="28">
        <f>$U$16*H144/100</f>
        <v>9.1949951623083604E-3</v>
      </c>
      <c r="V44" s="27" t="s">
        <v>84</v>
      </c>
      <c r="W44" s="28">
        <f t="shared" si="39"/>
        <v>65.951915845184132</v>
      </c>
      <c r="X44" s="25" t="s">
        <v>2</v>
      </c>
      <c r="Y44" s="25"/>
      <c r="Z44" s="28">
        <f t="shared" ref="Z44:Z47" si="43">U44-W44*U44/100</f>
        <v>3.130719690893998E-3</v>
      </c>
      <c r="AA44" s="25"/>
      <c r="AB44" s="58"/>
      <c r="AC44" s="25"/>
      <c r="AD44" s="27" t="s">
        <v>121</v>
      </c>
      <c r="AE44" s="28">
        <f>$AE$16*H144/100</f>
        <v>9.1949951623083604E-3</v>
      </c>
      <c r="AF44" s="27" t="s">
        <v>84</v>
      </c>
      <c r="AG44" s="28">
        <f t="shared" si="40"/>
        <v>65.951915845184132</v>
      </c>
      <c r="AH44" s="25" t="s">
        <v>2</v>
      </c>
      <c r="AI44" s="25"/>
      <c r="AJ44" s="28">
        <f t="shared" ref="AJ44:AJ47" si="44">AE44-AG44*AE44/100</f>
        <v>3.130719690893998E-3</v>
      </c>
      <c r="AK44" s="25"/>
      <c r="AM44" s="25"/>
      <c r="AN44" s="27" t="s">
        <v>121</v>
      </c>
      <c r="AO44" s="28">
        <f>$AO$16*H144/100</f>
        <v>9.1949951623083604E-3</v>
      </c>
      <c r="AP44" s="27" t="s">
        <v>84</v>
      </c>
      <c r="AQ44" s="28">
        <f t="shared" si="42"/>
        <v>65.951915845184132</v>
      </c>
      <c r="AR44" s="25" t="s">
        <v>2</v>
      </c>
      <c r="AS44" s="25"/>
      <c r="AT44" s="28">
        <f t="shared" ref="AT44:AT47" si="45">AO44-AQ44*AO44/100</f>
        <v>3.130719690893998E-3</v>
      </c>
      <c r="AU44" s="25"/>
    </row>
    <row r="45" spans="2:47" x14ac:dyDescent="0.2">
      <c r="C45" t="s">
        <v>63</v>
      </c>
      <c r="D45" s="10">
        <f>'option 2 single calculation met'!D45</f>
        <v>52.817731667059654</v>
      </c>
      <c r="E45" s="131">
        <v>82.371464752226316</v>
      </c>
      <c r="K45" s="178">
        <f>M37</f>
        <v>84.589204090433412</v>
      </c>
      <c r="L45" s="79" t="s">
        <v>113</v>
      </c>
      <c r="M45" s="79"/>
      <c r="N45" s="79"/>
      <c r="O45" s="79"/>
      <c r="P45" s="79"/>
      <c r="Q45" s="184"/>
      <c r="R45"/>
      <c r="S45" s="25"/>
      <c r="T45" s="27" t="s">
        <v>122</v>
      </c>
      <c r="U45" s="28">
        <f>$U$16*H145/100</f>
        <v>1.6751806020576098E-3</v>
      </c>
      <c r="V45" s="27" t="s">
        <v>84</v>
      </c>
      <c r="W45" s="28">
        <f t="shared" si="39"/>
        <v>51.429269839244775</v>
      </c>
      <c r="X45" s="25" t="s">
        <v>2</v>
      </c>
      <c r="Y45" s="25"/>
      <c r="Z45" s="28">
        <f t="shared" si="43"/>
        <v>8.1364744993071641E-4</v>
      </c>
      <c r="AA45" s="25"/>
      <c r="AC45" s="25"/>
      <c r="AD45" s="27" t="s">
        <v>122</v>
      </c>
      <c r="AE45" s="28">
        <f>$AE$16*H145/100</f>
        <v>1.6751806020576098E-3</v>
      </c>
      <c r="AF45" s="27" t="s">
        <v>84</v>
      </c>
      <c r="AG45" s="28">
        <f t="shared" si="40"/>
        <v>51.429269839244775</v>
      </c>
      <c r="AH45" s="25" t="s">
        <v>2</v>
      </c>
      <c r="AI45" s="25"/>
      <c r="AJ45" s="28">
        <f t="shared" si="44"/>
        <v>8.1364744993071641E-4</v>
      </c>
      <c r="AK45" s="25"/>
      <c r="AM45" s="25"/>
      <c r="AN45" s="27" t="s">
        <v>122</v>
      </c>
      <c r="AO45" s="28">
        <f>$AO$16*H145/100</f>
        <v>1.6751806020576098E-3</v>
      </c>
      <c r="AP45" s="27" t="s">
        <v>84</v>
      </c>
      <c r="AQ45" s="28">
        <f t="shared" si="42"/>
        <v>51.429269839244775</v>
      </c>
      <c r="AR45" s="25" t="s">
        <v>2</v>
      </c>
      <c r="AS45" s="25"/>
      <c r="AT45" s="28">
        <f t="shared" si="45"/>
        <v>8.1364744993071641E-4</v>
      </c>
      <c r="AU45" s="25"/>
    </row>
    <row r="46" spans="2:47" x14ac:dyDescent="0.2">
      <c r="C46" s="37" t="s">
        <v>64</v>
      </c>
      <c r="D46" s="38">
        <f>'option 2 single calculation met'!D46</f>
        <v>24.522518273991984</v>
      </c>
      <c r="E46" s="244">
        <v>75.863964769338409</v>
      </c>
      <c r="K46" s="178">
        <f>M38</f>
        <v>15.410795909566593</v>
      </c>
      <c r="L46" s="79" t="s">
        <v>206</v>
      </c>
      <c r="M46" s="79"/>
      <c r="N46" s="79"/>
      <c r="O46" s="79"/>
      <c r="P46" s="79"/>
      <c r="Q46" s="184"/>
      <c r="R46"/>
      <c r="S46" s="25"/>
      <c r="T46" s="27" t="s">
        <v>51</v>
      </c>
      <c r="U46" s="28">
        <f>$U$16*H146/100</f>
        <v>0.1370425033421136</v>
      </c>
      <c r="V46" s="27" t="s">
        <v>84</v>
      </c>
      <c r="W46" s="28">
        <f t="shared" si="39"/>
        <v>78.384925180364874</v>
      </c>
      <c r="X46" s="25" t="s">
        <v>2</v>
      </c>
      <c r="Y46" s="25"/>
      <c r="Z46" s="28">
        <f t="shared" si="43"/>
        <v>2.9621839632098815E-2</v>
      </c>
      <c r="AA46" s="25"/>
      <c r="AB46" s="58"/>
      <c r="AC46" s="25"/>
      <c r="AD46" s="27" t="s">
        <v>51</v>
      </c>
      <c r="AE46" s="28">
        <f>$AE$16*H146/100</f>
        <v>0.1370425033421136</v>
      </c>
      <c r="AF46" s="27" t="s">
        <v>84</v>
      </c>
      <c r="AG46" s="28">
        <f t="shared" si="40"/>
        <v>78.384925180364874</v>
      </c>
      <c r="AH46" s="25" t="s">
        <v>2</v>
      </c>
      <c r="AI46" s="25"/>
      <c r="AJ46" s="28">
        <f t="shared" si="44"/>
        <v>2.9621839632098815E-2</v>
      </c>
      <c r="AK46" s="25"/>
      <c r="AM46" s="25"/>
      <c r="AN46" s="27" t="s">
        <v>51</v>
      </c>
      <c r="AO46" s="28">
        <f>$AO$16*H146/100</f>
        <v>0.1370425033421136</v>
      </c>
      <c r="AP46" s="27" t="s">
        <v>84</v>
      </c>
      <c r="AQ46" s="28">
        <f t="shared" si="42"/>
        <v>78.384925180364874</v>
      </c>
      <c r="AR46" s="25" t="s">
        <v>2</v>
      </c>
      <c r="AS46" s="25"/>
      <c r="AT46" s="28">
        <f t="shared" si="45"/>
        <v>2.9621839632098815E-2</v>
      </c>
      <c r="AU46" s="25"/>
    </row>
    <row r="47" spans="2:47" x14ac:dyDescent="0.2">
      <c r="C47" t="s">
        <v>113</v>
      </c>
      <c r="D47" s="191">
        <f>'option 3.2 modernised pack targ'!D47</f>
        <v>25.739828255680099</v>
      </c>
      <c r="E47" s="245">
        <f>K50</f>
        <v>79.629889644276545</v>
      </c>
      <c r="K47" s="178">
        <f>E46</f>
        <v>75.863964769338409</v>
      </c>
      <c r="L47" s="79" t="s">
        <v>201</v>
      </c>
      <c r="M47" s="79"/>
      <c r="N47" s="79"/>
      <c r="O47" s="79"/>
      <c r="P47" s="79"/>
      <c r="Q47" s="184"/>
      <c r="R47"/>
      <c r="S47" s="25"/>
      <c r="T47" s="27" t="s">
        <v>109</v>
      </c>
      <c r="U47" s="28">
        <f>$U$16*H147/100</f>
        <v>0.21773188010578237</v>
      </c>
      <c r="V47" s="27" t="s">
        <v>84</v>
      </c>
      <c r="W47" s="28">
        <f t="shared" si="39"/>
        <v>66.175203920019257</v>
      </c>
      <c r="X47" s="25" t="s">
        <v>2</v>
      </c>
      <c r="Y47" s="25"/>
      <c r="Z47" s="28">
        <f t="shared" si="43"/>
        <v>7.3647364446889046E-2</v>
      </c>
      <c r="AA47" s="25"/>
      <c r="AB47" s="58"/>
      <c r="AC47" s="25"/>
      <c r="AD47" s="27" t="s">
        <v>109</v>
      </c>
      <c r="AE47" s="28">
        <f>$AE$16*H147/100</f>
        <v>0.21773188010578237</v>
      </c>
      <c r="AF47" s="27" t="s">
        <v>84</v>
      </c>
      <c r="AG47" s="28">
        <f t="shared" si="40"/>
        <v>66.175203920019257</v>
      </c>
      <c r="AH47" s="25" t="s">
        <v>2</v>
      </c>
      <c r="AI47" s="25"/>
      <c r="AJ47" s="28">
        <f t="shared" si="44"/>
        <v>7.3647364446889046E-2</v>
      </c>
      <c r="AK47" s="25"/>
      <c r="AM47" s="25"/>
      <c r="AN47" s="27" t="s">
        <v>109</v>
      </c>
      <c r="AO47" s="28">
        <f t="shared" ref="AO47:AO48" si="46">$AO$16*H147/100</f>
        <v>0.21773188010578237</v>
      </c>
      <c r="AP47" s="27" t="s">
        <v>84</v>
      </c>
      <c r="AQ47" s="28">
        <f t="shared" si="42"/>
        <v>66.175203920019257</v>
      </c>
      <c r="AR47" s="25" t="s">
        <v>2</v>
      </c>
      <c r="AS47" s="25"/>
      <c r="AT47" s="28">
        <f t="shared" si="45"/>
        <v>7.3647364446889046E-2</v>
      </c>
      <c r="AU47" s="25"/>
    </row>
    <row r="48" spans="2:47" x14ac:dyDescent="0.2">
      <c r="C48" t="s">
        <v>114</v>
      </c>
      <c r="D48" s="191">
        <f>'option 3.2 modernised pack targ'!D48</f>
        <v>17.840755496352696</v>
      </c>
      <c r="E48" s="245">
        <f>K51</f>
        <v>55.192963108896564</v>
      </c>
      <c r="K48" s="178">
        <f>K47*M33/100</f>
        <v>67.358289868183988</v>
      </c>
      <c r="L48" s="79" t="s">
        <v>202</v>
      </c>
      <c r="M48" s="79"/>
      <c r="N48" s="79"/>
      <c r="O48" s="79"/>
      <c r="P48" s="79"/>
      <c r="Q48" s="184"/>
      <c r="R48"/>
      <c r="S48" s="25"/>
      <c r="T48" s="27" t="s">
        <v>83</v>
      </c>
      <c r="U48" s="28">
        <f>$U$16*H148/100</f>
        <v>1.2865871887693985E-2</v>
      </c>
      <c r="V48" s="27" t="s">
        <v>84</v>
      </c>
      <c r="W48" s="28">
        <f t="shared" si="39"/>
        <v>0</v>
      </c>
      <c r="X48" s="25" t="s">
        <v>2</v>
      </c>
      <c r="Y48" s="25"/>
      <c r="Z48" s="28">
        <f>U48-W47*U48/100</f>
        <v>4.3518549299240601E-3</v>
      </c>
      <c r="AA48" s="25"/>
      <c r="AB48" s="58"/>
      <c r="AC48" s="25"/>
      <c r="AD48" s="27" t="s">
        <v>83</v>
      </c>
      <c r="AE48" s="28">
        <f>$AE$16*H148/100</f>
        <v>1.2865871887693985E-2</v>
      </c>
      <c r="AF48" s="27" t="s">
        <v>84</v>
      </c>
      <c r="AG48" s="28">
        <f t="shared" si="40"/>
        <v>0</v>
      </c>
      <c r="AH48" s="25" t="s">
        <v>2</v>
      </c>
      <c r="AI48" s="25"/>
      <c r="AJ48" s="28">
        <f>AE48-AG47*AE48/100</f>
        <v>4.3518549299240601E-3</v>
      </c>
      <c r="AK48" s="25"/>
      <c r="AM48" s="25"/>
      <c r="AN48" s="27" t="s">
        <v>83</v>
      </c>
      <c r="AO48" s="28">
        <f t="shared" si="46"/>
        <v>1.2865871887693985E-2</v>
      </c>
      <c r="AP48" s="27" t="s">
        <v>84</v>
      </c>
      <c r="AQ48" s="28">
        <f t="shared" si="42"/>
        <v>0</v>
      </c>
      <c r="AR48" s="25" t="s">
        <v>2</v>
      </c>
      <c r="AS48" s="25"/>
      <c r="AT48" s="28">
        <f>AO48-AQ47*AO48/100</f>
        <v>4.3518549299240601E-3</v>
      </c>
      <c r="AU48" s="25"/>
    </row>
    <row r="49" spans="2:47" ht="13.5" thickBot="1" x14ac:dyDescent="0.25">
      <c r="C49" t="s">
        <v>65</v>
      </c>
      <c r="D49" s="10">
        <f>'option 2 single calculation met'!D47</f>
        <v>40.509313841075219</v>
      </c>
      <c r="E49" s="132">
        <v>86.041275483234088</v>
      </c>
      <c r="K49" s="178">
        <f>K47*M34/100</f>
        <v>8.5056749011544301</v>
      </c>
      <c r="L49" s="79" t="s">
        <v>203</v>
      </c>
      <c r="M49" s="79"/>
      <c r="N49" s="79"/>
      <c r="O49" s="79"/>
      <c r="P49" s="79"/>
      <c r="Q49" s="184"/>
      <c r="R49"/>
      <c r="S49" s="25"/>
      <c r="T49" s="25"/>
      <c r="U49" s="26"/>
      <c r="V49" s="25"/>
      <c r="W49" s="25"/>
      <c r="X49" s="25"/>
      <c r="Y49" s="26"/>
      <c r="Z49" s="26"/>
      <c r="AA49" s="25"/>
      <c r="AB49" s="58"/>
      <c r="AC49" s="25"/>
      <c r="AD49" s="25"/>
      <c r="AE49" s="26"/>
      <c r="AF49" s="25"/>
      <c r="AG49" s="25"/>
      <c r="AH49" s="25"/>
      <c r="AI49" s="26"/>
      <c r="AJ49" s="28"/>
      <c r="AK49" s="25"/>
      <c r="AM49" s="25"/>
      <c r="AN49" s="25"/>
      <c r="AO49" s="26"/>
      <c r="AP49" s="25"/>
      <c r="AQ49" s="25"/>
      <c r="AR49" s="25"/>
      <c r="AS49" s="26"/>
      <c r="AT49" s="28"/>
      <c r="AU49" s="25"/>
    </row>
    <row r="50" spans="2:47" ht="13.5" thickTop="1" x14ac:dyDescent="0.2">
      <c r="E50" s="10"/>
      <c r="K50" s="178">
        <f>K48/K45*100</f>
        <v>79.629889644276545</v>
      </c>
      <c r="L50" s="79" t="s">
        <v>2</v>
      </c>
      <c r="M50" s="79" t="s">
        <v>207</v>
      </c>
      <c r="N50" s="79"/>
      <c r="O50" s="79"/>
      <c r="P50" s="79"/>
      <c r="Q50" s="184"/>
      <c r="R50"/>
      <c r="S50" s="25"/>
      <c r="T50" s="27" t="s">
        <v>91</v>
      </c>
      <c r="U50" s="28">
        <f>U12-U16</f>
        <v>20.038886678594437</v>
      </c>
      <c r="V50" s="27" t="s">
        <v>84</v>
      </c>
      <c r="W50" s="28">
        <v>0</v>
      </c>
      <c r="X50" s="25" t="s">
        <v>2</v>
      </c>
      <c r="Y50" s="26"/>
      <c r="Z50" s="28">
        <f t="shared" ref="Z50" si="47">U50-W50*U50/100</f>
        <v>20.038886678594437</v>
      </c>
      <c r="AA50" s="25"/>
      <c r="AB50" s="58"/>
      <c r="AC50" s="25"/>
      <c r="AD50" s="27" t="s">
        <v>91</v>
      </c>
      <c r="AE50" s="28">
        <f>AE12-AE16</f>
        <v>20.038886678594437</v>
      </c>
      <c r="AF50" s="27" t="s">
        <v>84</v>
      </c>
      <c r="AG50" s="28">
        <v>0</v>
      </c>
      <c r="AH50" s="25" t="s">
        <v>2</v>
      </c>
      <c r="AI50" s="26"/>
      <c r="AJ50" s="28">
        <f t="shared" ref="AJ50" si="48">AE50-AG50*AE50/100</f>
        <v>20.038886678594437</v>
      </c>
      <c r="AK50" s="25"/>
      <c r="AM50" s="25"/>
      <c r="AN50" s="27" t="s">
        <v>91</v>
      </c>
      <c r="AO50" s="28">
        <f>AO12-AO16</f>
        <v>20.038886678594437</v>
      </c>
      <c r="AP50" s="27" t="s">
        <v>84</v>
      </c>
      <c r="AQ50" s="28">
        <v>0</v>
      </c>
      <c r="AR50" s="25" t="s">
        <v>2</v>
      </c>
      <c r="AS50" s="26"/>
      <c r="AT50" s="28">
        <f t="shared" ref="AT50" si="49">AO50-AQ50*AO50/100</f>
        <v>20.038886678594437</v>
      </c>
      <c r="AU50" s="25"/>
    </row>
    <row r="51" spans="2:47" x14ac:dyDescent="0.2">
      <c r="B51" t="s">
        <v>23</v>
      </c>
      <c r="E51" s="10"/>
      <c r="F51" t="s">
        <v>24</v>
      </c>
      <c r="G51" t="s">
        <v>66</v>
      </c>
      <c r="K51" s="178">
        <f>K49/K46*100</f>
        <v>55.192963108896564</v>
      </c>
      <c r="L51" s="79" t="s">
        <v>2</v>
      </c>
      <c r="M51" s="79" t="s">
        <v>208</v>
      </c>
      <c r="N51" s="79"/>
      <c r="O51" s="79"/>
      <c r="P51" s="79"/>
      <c r="Q51" s="184"/>
      <c r="R51"/>
      <c r="S51" s="25"/>
      <c r="T51" s="27"/>
      <c r="U51" s="26"/>
      <c r="V51" s="27"/>
      <c r="W51" s="28"/>
      <c r="X51" s="25"/>
      <c r="Y51" s="26"/>
      <c r="Z51" s="26"/>
      <c r="AA51" s="25"/>
      <c r="AB51" s="58"/>
      <c r="AC51" s="25"/>
      <c r="AD51" s="27"/>
      <c r="AE51" s="26"/>
      <c r="AF51" s="27"/>
      <c r="AG51" s="28"/>
      <c r="AH51" s="25"/>
      <c r="AI51" s="26"/>
      <c r="AJ51" s="26"/>
      <c r="AK51" s="25"/>
      <c r="AM51" s="25"/>
      <c r="AN51" s="27"/>
      <c r="AO51" s="26"/>
      <c r="AP51" s="27"/>
      <c r="AQ51" s="28"/>
      <c r="AR51" s="25"/>
      <c r="AS51" s="26"/>
      <c r="AT51" s="26"/>
      <c r="AU51" s="25"/>
    </row>
    <row r="52" spans="2:47" x14ac:dyDescent="0.2">
      <c r="C52" t="str">
        <f>C44</f>
        <v>plastic</v>
      </c>
      <c r="D52" s="10">
        <f t="shared" ref="D52:E54" si="50">100-D44</f>
        <v>92.858827096035299</v>
      </c>
      <c r="E52" s="10">
        <f t="shared" si="50"/>
        <v>76.078386762688396</v>
      </c>
      <c r="F52" s="10">
        <f>D52-E52</f>
        <v>16.780440333346903</v>
      </c>
      <c r="G52" s="146">
        <f>F52/D52*100</f>
        <v>18.07091566641526</v>
      </c>
      <c r="H52" s="1" t="s">
        <v>2</v>
      </c>
      <c r="K52" s="185"/>
      <c r="L52" s="181"/>
      <c r="M52" s="181"/>
      <c r="N52" s="181"/>
      <c r="O52" s="181"/>
      <c r="P52" s="181"/>
      <c r="Q52" s="186"/>
      <c r="R52"/>
      <c r="S52" s="25"/>
      <c r="T52" s="25"/>
      <c r="U52" s="26" t="s">
        <v>143</v>
      </c>
      <c r="V52" s="27" t="s">
        <v>234</v>
      </c>
      <c r="W52" s="25"/>
      <c r="X52" s="42"/>
      <c r="Y52" s="26"/>
      <c r="Z52" s="26" t="s">
        <v>144</v>
      </c>
      <c r="AA52" s="25"/>
      <c r="AB52" s="58"/>
      <c r="AC52" s="25"/>
      <c r="AD52" s="25"/>
      <c r="AE52" s="26" t="s">
        <v>143</v>
      </c>
      <c r="AF52" s="27" t="s">
        <v>234</v>
      </c>
      <c r="AG52" s="25"/>
      <c r="AH52" s="42"/>
      <c r="AI52" s="26"/>
      <c r="AJ52" s="26" t="s">
        <v>144</v>
      </c>
      <c r="AK52" s="25"/>
      <c r="AM52" s="25"/>
      <c r="AN52" s="25"/>
      <c r="AO52" s="26" t="s">
        <v>143</v>
      </c>
      <c r="AP52" s="27" t="s">
        <v>234</v>
      </c>
      <c r="AQ52" s="25"/>
      <c r="AR52" s="42"/>
      <c r="AS52" s="26"/>
      <c r="AT52" s="26" t="s">
        <v>144</v>
      </c>
      <c r="AU52" s="25"/>
    </row>
    <row r="53" spans="2:47" x14ac:dyDescent="0.2">
      <c r="C53" t="str">
        <f>C45</f>
        <v>glass</v>
      </c>
      <c r="D53" s="10">
        <f t="shared" si="50"/>
        <v>47.182268332940346</v>
      </c>
      <c r="E53" s="10">
        <f t="shared" si="50"/>
        <v>17.628535247773684</v>
      </c>
      <c r="F53" s="10">
        <f>D53-E53</f>
        <v>29.553733085166662</v>
      </c>
      <c r="G53" s="200">
        <f t="shared" ref="G53:G57" si="51">F53/D53*100</f>
        <v>62.637372320935434</v>
      </c>
      <c r="H53" s="1" t="s">
        <v>2</v>
      </c>
      <c r="R53"/>
      <c r="S53" s="25"/>
      <c r="T53" s="27" t="s">
        <v>42</v>
      </c>
      <c r="U53" s="28">
        <f t="shared" ref="U53:U59" si="52">Y34</f>
        <v>6.8786276574258922</v>
      </c>
      <c r="V53" s="28">
        <f>H227</f>
        <v>6.2985939594464897</v>
      </c>
      <c r="W53" s="28" t="s">
        <v>2</v>
      </c>
      <c r="X53" s="26"/>
      <c r="Y53" s="26"/>
      <c r="Z53" s="28">
        <f>0-U53*V53/100</f>
        <v>-0.4332568261234428</v>
      </c>
      <c r="AA53" s="25"/>
      <c r="AB53" s="58"/>
      <c r="AC53" s="25"/>
      <c r="AD53" s="27" t="s">
        <v>42</v>
      </c>
      <c r="AE53" s="28">
        <f t="shared" ref="AE53:AE59" si="53">AI34</f>
        <v>6.9420615009207456</v>
      </c>
      <c r="AF53" s="28">
        <f>H227</f>
        <v>6.2985939594464897</v>
      </c>
      <c r="AG53" s="28" t="s">
        <v>2</v>
      </c>
      <c r="AH53" s="26"/>
      <c r="AI53" s="26"/>
      <c r="AJ53" s="28">
        <f>0-AE53*AF53/100</f>
        <v>-0.43725226635805442</v>
      </c>
      <c r="AK53" s="25"/>
      <c r="AM53" s="25"/>
      <c r="AN53" s="27" t="s">
        <v>42</v>
      </c>
      <c r="AO53" s="28">
        <f t="shared" ref="AO53:AO59" si="54">AS34</f>
        <v>6.9853006518850087</v>
      </c>
      <c r="AP53" s="28">
        <f>H227</f>
        <v>6.2985939594464897</v>
      </c>
      <c r="AQ53" s="28" t="s">
        <v>2</v>
      </c>
      <c r="AR53" s="26"/>
      <c r="AS53" s="26"/>
      <c r="AT53" s="28">
        <f>0-AO53*AP53/100</f>
        <v>-0.43997572490880543</v>
      </c>
      <c r="AU53" s="25"/>
    </row>
    <row r="54" spans="2:47" x14ac:dyDescent="0.2">
      <c r="C54" s="37" t="str">
        <f>C46</f>
        <v>metals</v>
      </c>
      <c r="D54" s="38">
        <f t="shared" si="50"/>
        <v>75.477481726008023</v>
      </c>
      <c r="E54" s="38">
        <f t="shared" si="50"/>
        <v>24.136035230661591</v>
      </c>
      <c r="F54" s="38">
        <f>D54-E54</f>
        <v>51.341446495346432</v>
      </c>
      <c r="G54" s="201">
        <f t="shared" si="51"/>
        <v>68.022203869654547</v>
      </c>
      <c r="H54" s="39" t="s">
        <v>2</v>
      </c>
      <c r="R54"/>
      <c r="S54" s="25"/>
      <c r="T54" s="27" t="s">
        <v>43</v>
      </c>
      <c r="U54" s="28">
        <f t="shared" si="52"/>
        <v>0.11194333825292799</v>
      </c>
      <c r="V54" s="28">
        <f t="shared" ref="V54:V55" si="55">H228</f>
        <v>6.2985939594464897</v>
      </c>
      <c r="W54" s="28" t="s">
        <v>2</v>
      </c>
      <c r="X54" s="26"/>
      <c r="Y54" s="26"/>
      <c r="Z54" s="28">
        <f t="shared" ref="Z54:Z66" si="56">0-U54*V54/100</f>
        <v>-7.0508563412016731E-3</v>
      </c>
      <c r="AA54" s="25"/>
      <c r="AB54" s="58"/>
      <c r="AC54" s="25"/>
      <c r="AD54" s="27" t="s">
        <v>43</v>
      </c>
      <c r="AE54" s="28">
        <f t="shared" si="53"/>
        <v>0.11297566571018794</v>
      </c>
      <c r="AF54" s="28">
        <f t="shared" ref="AF54:AF55" si="57">H228</f>
        <v>6.2985939594464897</v>
      </c>
      <c r="AG54" s="28" t="s">
        <v>2</v>
      </c>
      <c r="AH54" s="26"/>
      <c r="AI54" s="26"/>
      <c r="AJ54" s="28">
        <f t="shared" ref="AJ54:AJ66" si="58">0-AE54*AF54/100</f>
        <v>-7.1158784560663565E-3</v>
      </c>
      <c r="AK54" s="25"/>
      <c r="AM54" s="25"/>
      <c r="AN54" s="27" t="s">
        <v>43</v>
      </c>
      <c r="AO54" s="28">
        <f t="shared" si="54"/>
        <v>0.11367934312132627</v>
      </c>
      <c r="AP54" s="28">
        <f t="shared" ref="AP54:AP55" si="59">H228</f>
        <v>6.2985939594464897</v>
      </c>
      <c r="AQ54" s="28" t="s">
        <v>2</v>
      </c>
      <c r="AR54" s="26"/>
      <c r="AS54" s="26"/>
      <c r="AT54" s="28">
        <f t="shared" ref="AT54:AT66" si="60">0-AO54*AP54/100</f>
        <v>-7.1602002389783044E-3</v>
      </c>
      <c r="AU54" s="25"/>
    </row>
    <row r="55" spans="2:47" x14ac:dyDescent="0.2">
      <c r="C55" t="s">
        <v>113</v>
      </c>
      <c r="D55" s="191">
        <f>100-D47</f>
        <v>74.260171744319905</v>
      </c>
      <c r="E55" s="10">
        <f>100-E47</f>
        <v>20.370110355723455</v>
      </c>
      <c r="F55" s="10">
        <f>D55-E55</f>
        <v>53.89006138859645</v>
      </c>
      <c r="G55" s="200">
        <f>F55/D55*100</f>
        <v>72.569265762192984</v>
      </c>
      <c r="H55" s="1" t="s">
        <v>2</v>
      </c>
      <c r="R55"/>
      <c r="S55" s="25"/>
      <c r="T55" s="27" t="s">
        <v>117</v>
      </c>
      <c r="U55" s="28">
        <f t="shared" si="52"/>
        <v>7.1061444756529202E-2</v>
      </c>
      <c r="V55" s="28">
        <f t="shared" si="55"/>
        <v>6.2985939594464897</v>
      </c>
      <c r="W55" s="28" t="s">
        <v>2</v>
      </c>
      <c r="X55" s="26"/>
      <c r="Y55" s="26"/>
      <c r="Z55" s="28">
        <f t="shared" si="56"/>
        <v>-4.4758718669301529E-3</v>
      </c>
      <c r="AA55" s="25"/>
      <c r="AB55" s="58"/>
      <c r="AC55" s="25"/>
      <c r="AD55" s="27" t="s">
        <v>117</v>
      </c>
      <c r="AE55" s="28">
        <f t="shared" si="53"/>
        <v>7.1716764507749803E-2</v>
      </c>
      <c r="AF55" s="28">
        <f t="shared" si="57"/>
        <v>6.2985939594464897</v>
      </c>
      <c r="AG55" s="28" t="s">
        <v>2</v>
      </c>
      <c r="AH55" s="26"/>
      <c r="AI55" s="26"/>
      <c r="AJ55" s="28">
        <f t="shared" si="58"/>
        <v>-4.5171477971955934E-3</v>
      </c>
      <c r="AK55" s="25"/>
      <c r="AM55" s="25"/>
      <c r="AN55" s="27" t="s">
        <v>117</v>
      </c>
      <c r="AO55" s="28">
        <f t="shared" si="54"/>
        <v>7.2163457756838467E-2</v>
      </c>
      <c r="AP55" s="28">
        <f t="shared" si="59"/>
        <v>6.2985939594464897</v>
      </c>
      <c r="AQ55" s="28" t="s">
        <v>2</v>
      </c>
      <c r="AR55" s="26"/>
      <c r="AS55" s="26"/>
      <c r="AT55" s="28">
        <f t="shared" si="60"/>
        <v>-4.5452831911999472E-3</v>
      </c>
      <c r="AU55" s="25"/>
    </row>
    <row r="56" spans="2:47" x14ac:dyDescent="0.2">
      <c r="C56" t="s">
        <v>114</v>
      </c>
      <c r="D56" s="191">
        <f t="shared" ref="D56:E56" si="61">100-D48</f>
        <v>82.159244503647301</v>
      </c>
      <c r="E56" s="10">
        <f t="shared" si="61"/>
        <v>44.807036891103436</v>
      </c>
      <c r="F56" s="10">
        <f t="shared" ref="F56" si="62">D56-E56</f>
        <v>37.352207612543864</v>
      </c>
      <c r="G56" s="200">
        <f t="shared" ref="G56" si="63">F56/D56*100</f>
        <v>45.463182917761237</v>
      </c>
      <c r="H56" s="1" t="s">
        <v>2</v>
      </c>
      <c r="R56"/>
      <c r="S56" s="25"/>
      <c r="T56" s="27" t="s">
        <v>118</v>
      </c>
      <c r="U56" s="28">
        <f t="shared" si="52"/>
        <v>2.5739287358763987E-2</v>
      </c>
      <c r="V56" s="28">
        <f>H229</f>
        <v>6.2985939594464897</v>
      </c>
      <c r="W56" s="28" t="s">
        <v>2</v>
      </c>
      <c r="X56" s="26"/>
      <c r="Y56" s="26"/>
      <c r="Z56" s="28">
        <f t="shared" si="56"/>
        <v>-1.6212131987836825E-3</v>
      </c>
      <c r="AA56" s="25"/>
      <c r="AB56" s="58"/>
      <c r="AC56" s="25"/>
      <c r="AD56" s="27" t="s">
        <v>118</v>
      </c>
      <c r="AE56" s="28">
        <f t="shared" si="53"/>
        <v>2.5976651845882572E-2</v>
      </c>
      <c r="AF56" s="28">
        <f>H229</f>
        <v>6.2985939594464897</v>
      </c>
      <c r="AG56" s="28" t="s">
        <v>2</v>
      </c>
      <c r="AH56" s="26"/>
      <c r="AI56" s="26"/>
      <c r="AJ56" s="28">
        <f t="shared" si="58"/>
        <v>-1.6361638240312048E-3</v>
      </c>
      <c r="AK56" s="25"/>
      <c r="AM56" s="25"/>
      <c r="AN56" s="27" t="s">
        <v>118</v>
      </c>
      <c r="AO56" s="28">
        <f t="shared" si="54"/>
        <v>2.6138449371093414E-2</v>
      </c>
      <c r="AP56" s="28">
        <f>H229</f>
        <v>6.2985939594464897</v>
      </c>
      <c r="AQ56" s="28" t="s">
        <v>2</v>
      </c>
      <c r="AR56" s="26"/>
      <c r="AS56" s="26"/>
      <c r="AT56" s="28">
        <f t="shared" si="60"/>
        <v>-1.6463547931806688E-3</v>
      </c>
      <c r="AU56" s="25"/>
    </row>
    <row r="57" spans="2:47" x14ac:dyDescent="0.2">
      <c r="C57" t="str">
        <f>C49</f>
        <v>paper</v>
      </c>
      <c r="D57" s="10">
        <f>100-D49</f>
        <v>59.490686158924781</v>
      </c>
      <c r="E57" s="10">
        <f>100-E49</f>
        <v>13.958724516765912</v>
      </c>
      <c r="F57" s="10">
        <f>D57-E57</f>
        <v>45.531961642158869</v>
      </c>
      <c r="G57" s="148">
        <f t="shared" si="51"/>
        <v>76.536285899483062</v>
      </c>
      <c r="H57" s="1" t="s">
        <v>2</v>
      </c>
      <c r="R57"/>
      <c r="S57" s="25"/>
      <c r="T57" s="27" t="s">
        <v>45</v>
      </c>
      <c r="U57" s="28">
        <f t="shared" si="52"/>
        <v>3.0337252868795002</v>
      </c>
      <c r="V57" s="28">
        <f t="shared" ref="V57:V58" si="64">H230</f>
        <v>6.2985939594464897</v>
      </c>
      <c r="W57" s="28" t="s">
        <v>2</v>
      </c>
      <c r="X57" s="26"/>
      <c r="Y57" s="26"/>
      <c r="Z57" s="28">
        <f t="shared" si="56"/>
        <v>-0.1910820376655929</v>
      </c>
      <c r="AA57" s="25"/>
      <c r="AB57" s="58"/>
      <c r="AC57" s="25"/>
      <c r="AD57" s="27" t="s">
        <v>45</v>
      </c>
      <c r="AE57" s="28">
        <f t="shared" si="53"/>
        <v>3.0617019218477441</v>
      </c>
      <c r="AF57" s="28">
        <f t="shared" ref="AF57:AF58" si="65">H230</f>
        <v>6.2985939594464897</v>
      </c>
      <c r="AG57" s="28" t="s">
        <v>2</v>
      </c>
      <c r="AH57" s="26"/>
      <c r="AI57" s="26"/>
      <c r="AJ57" s="28">
        <f t="shared" si="58"/>
        <v>-0.19284417230575909</v>
      </c>
      <c r="AK57" s="25"/>
      <c r="AM57" s="25"/>
      <c r="AN57" s="27" t="s">
        <v>45</v>
      </c>
      <c r="AO57" s="28">
        <f t="shared" si="54"/>
        <v>3.0807719620063914</v>
      </c>
      <c r="AP57" s="28">
        <f t="shared" ref="AP57:AP58" si="66">H230</f>
        <v>6.2985939594464897</v>
      </c>
      <c r="AQ57" s="28" t="s">
        <v>2</v>
      </c>
      <c r="AR57" s="26"/>
      <c r="AS57" s="26"/>
      <c r="AT57" s="28">
        <f t="shared" si="60"/>
        <v>-0.19404531670325567</v>
      </c>
      <c r="AU57" s="25"/>
    </row>
    <row r="58" spans="2:47" x14ac:dyDescent="0.2">
      <c r="E58" s="10"/>
      <c r="R58"/>
      <c r="S58" s="25"/>
      <c r="T58" s="27" t="s">
        <v>108</v>
      </c>
      <c r="U58" s="28">
        <f t="shared" si="52"/>
        <v>5.1761686993968714E-2</v>
      </c>
      <c r="V58" s="28">
        <f t="shared" si="64"/>
        <v>6.2985939594464897</v>
      </c>
      <c r="W58" s="28" t="s">
        <v>2</v>
      </c>
      <c r="X58" s="25"/>
      <c r="Y58" s="26"/>
      <c r="Z58" s="28">
        <f t="shared" si="56"/>
        <v>-3.2602584903097128E-3</v>
      </c>
      <c r="AA58" s="25"/>
      <c r="AB58" s="45"/>
      <c r="AC58" s="25"/>
      <c r="AD58" s="27" t="s">
        <v>108</v>
      </c>
      <c r="AE58" s="28">
        <f t="shared" si="53"/>
        <v>5.2239026794191845E-2</v>
      </c>
      <c r="AF58" s="28">
        <f t="shared" si="65"/>
        <v>6.2985939594464897</v>
      </c>
      <c r="AG58" s="28" t="s">
        <v>2</v>
      </c>
      <c r="AH58" s="25"/>
      <c r="AI58" s="26"/>
      <c r="AJ58" s="28">
        <f t="shared" si="58"/>
        <v>-3.2903241861326009E-3</v>
      </c>
      <c r="AK58" s="25"/>
      <c r="AM58" s="25"/>
      <c r="AN58" s="27" t="s">
        <v>108</v>
      </c>
      <c r="AO58" s="28">
        <f t="shared" si="54"/>
        <v>5.2564401492396551E-2</v>
      </c>
      <c r="AP58" s="28">
        <f t="shared" si="66"/>
        <v>6.2985939594464897</v>
      </c>
      <c r="AQ58" s="28" t="s">
        <v>2</v>
      </c>
      <c r="AR58" s="25"/>
      <c r="AS58" s="26"/>
      <c r="AT58" s="28">
        <f t="shared" si="60"/>
        <v>-3.3108182172192895E-3</v>
      </c>
      <c r="AU58" s="25"/>
    </row>
    <row r="59" spans="2:47" x14ac:dyDescent="0.2">
      <c r="B59" s="84" t="s">
        <v>30</v>
      </c>
      <c r="C59" s="53"/>
      <c r="R59"/>
      <c r="S59" s="25"/>
      <c r="T59" s="27" t="s">
        <v>96</v>
      </c>
      <c r="U59" s="28">
        <f t="shared" si="52"/>
        <v>9.1154131267789378</v>
      </c>
      <c r="V59" s="28">
        <v>0</v>
      </c>
      <c r="W59" s="28" t="s">
        <v>2</v>
      </c>
      <c r="X59" s="25"/>
      <c r="Y59" s="25"/>
      <c r="Z59" s="28">
        <f t="shared" si="56"/>
        <v>0</v>
      </c>
      <c r="AA59" s="25"/>
      <c r="AB59" s="45"/>
      <c r="AC59" s="25"/>
      <c r="AD59" s="27" t="s">
        <v>96</v>
      </c>
      <c r="AE59" s="28">
        <f t="shared" si="53"/>
        <v>9.1994743259704261</v>
      </c>
      <c r="AF59" s="28">
        <v>0</v>
      </c>
      <c r="AG59" s="28" t="s">
        <v>2</v>
      </c>
      <c r="AH59" s="25"/>
      <c r="AI59" s="25"/>
      <c r="AJ59" s="28">
        <f t="shared" si="58"/>
        <v>0</v>
      </c>
      <c r="AK59" s="25"/>
      <c r="AM59" s="25"/>
      <c r="AN59" s="27" t="s">
        <v>96</v>
      </c>
      <c r="AO59" s="28">
        <f t="shared" si="54"/>
        <v>9.2567739421031519</v>
      </c>
      <c r="AP59" s="28">
        <v>0</v>
      </c>
      <c r="AQ59" s="28" t="s">
        <v>2</v>
      </c>
      <c r="AR59" s="25"/>
      <c r="AS59" s="25"/>
      <c r="AT59" s="28">
        <f t="shared" si="60"/>
        <v>0</v>
      </c>
      <c r="AU59" s="25"/>
    </row>
    <row r="60" spans="2:47" x14ac:dyDescent="0.2">
      <c r="B60" t="str">
        <f>'option 3.2 modernised pack targ'!B70</f>
        <v>as in option 1</v>
      </c>
      <c r="D60" t="s">
        <v>32</v>
      </c>
      <c r="E60" t="s">
        <v>33</v>
      </c>
      <c r="G60" t="str">
        <f>D60</f>
        <v>packaging</v>
      </c>
      <c r="R60"/>
      <c r="S60" s="25"/>
      <c r="T60" s="27" t="s">
        <v>38</v>
      </c>
      <c r="U60" s="28">
        <f t="shared" ref="U60:U66" si="67">Y26</f>
        <v>23.723623527710672</v>
      </c>
      <c r="V60" s="28">
        <f>H232</f>
        <v>6.1805223267295055</v>
      </c>
      <c r="W60" s="28" t="s">
        <v>2</v>
      </c>
      <c r="X60" s="25"/>
      <c r="Y60" s="25"/>
      <c r="Z60" s="28">
        <f t="shared" si="56"/>
        <v>-1.4662438488394118</v>
      </c>
      <c r="AA60" s="25"/>
      <c r="AB60" s="45"/>
      <c r="AC60" s="25"/>
      <c r="AD60" s="27" t="s">
        <v>38</v>
      </c>
      <c r="AE60" s="28">
        <f t="shared" ref="AE60:AE66" si="68">AI26</f>
        <v>23.942399815210809</v>
      </c>
      <c r="AF60" s="28">
        <f>H232</f>
        <v>6.1805223267295055</v>
      </c>
      <c r="AG60" s="25" t="s">
        <v>2</v>
      </c>
      <c r="AH60" s="25"/>
      <c r="AI60" s="25"/>
      <c r="AJ60" s="28">
        <f t="shared" si="58"/>
        <v>-1.4797653661339478</v>
      </c>
      <c r="AK60" s="25"/>
      <c r="AM60" s="25"/>
      <c r="AN60" s="27" t="s">
        <v>38</v>
      </c>
      <c r="AO60" s="28">
        <f t="shared" ref="AO60:AO66" si="69">AS26</f>
        <v>24.09152684900609</v>
      </c>
      <c r="AP60" s="28">
        <f>H232</f>
        <v>6.1805223267295055</v>
      </c>
      <c r="AQ60" s="28" t="s">
        <v>2</v>
      </c>
      <c r="AR60" s="25"/>
      <c r="AS60" s="25"/>
      <c r="AT60" s="28">
        <f t="shared" si="60"/>
        <v>-1.4889821957528548</v>
      </c>
      <c r="AU60" s="25"/>
    </row>
    <row r="61" spans="2:47" x14ac:dyDescent="0.2">
      <c r="R61"/>
      <c r="S61" s="25"/>
      <c r="T61" s="27" t="s">
        <v>39</v>
      </c>
      <c r="U61" s="28">
        <f t="shared" si="67"/>
        <v>0.29727626283474362</v>
      </c>
      <c r="V61" s="28">
        <f t="shared" ref="V61:V66" si="70">H233</f>
        <v>5.715023840730419</v>
      </c>
      <c r="W61" s="28" t="s">
        <v>2</v>
      </c>
      <c r="X61" s="25"/>
      <c r="Y61" s="25"/>
      <c r="Z61" s="28">
        <f t="shared" si="56"/>
        <v>-1.698940929383802E-2</v>
      </c>
      <c r="AA61" s="25"/>
      <c r="AB61" s="45"/>
      <c r="AC61" s="25"/>
      <c r="AD61" s="27" t="s">
        <v>39</v>
      </c>
      <c r="AE61" s="28">
        <f t="shared" si="68"/>
        <v>0.30001770733072997</v>
      </c>
      <c r="AF61" s="28">
        <f t="shared" ref="AF61:AF66" si="71">H233</f>
        <v>5.715023840730419</v>
      </c>
      <c r="AG61" s="25" t="s">
        <v>2</v>
      </c>
      <c r="AH61" s="25"/>
      <c r="AI61" s="25"/>
      <c r="AJ61" s="28">
        <f t="shared" si="58"/>
        <v>-1.7146083500364031E-2</v>
      </c>
      <c r="AK61" s="25"/>
      <c r="AM61" s="25"/>
      <c r="AN61" s="27" t="s">
        <v>39</v>
      </c>
      <c r="AO61" s="28">
        <f t="shared" si="69"/>
        <v>0.30188639013302243</v>
      </c>
      <c r="AP61" s="28">
        <f t="shared" ref="AP61:AP66" si="72">H233</f>
        <v>5.715023840730419</v>
      </c>
      <c r="AQ61" s="28" t="s">
        <v>2</v>
      </c>
      <c r="AR61" s="25"/>
      <c r="AS61" s="25"/>
      <c r="AT61" s="28">
        <f t="shared" si="60"/>
        <v>-1.7252879168022674E-2</v>
      </c>
      <c r="AU61" s="25"/>
    </row>
    <row r="62" spans="2:47" x14ac:dyDescent="0.2">
      <c r="B62" t="s">
        <v>31</v>
      </c>
      <c r="C62" t="s">
        <v>7</v>
      </c>
      <c r="D62">
        <f>'option 3.2 modernised pack targ'!D71</f>
        <v>2470</v>
      </c>
      <c r="E62">
        <f>'option 3.2 modernised pack targ'!E71</f>
        <v>32566</v>
      </c>
      <c r="G62" s="10">
        <f>D62/(D62+E62)*100</f>
        <v>7.0498915401301518</v>
      </c>
      <c r="H62" s="1" t="s">
        <v>2</v>
      </c>
      <c r="I62" s="10">
        <f>G62+G64*(G62/(G62+G63))</f>
        <v>7.2873114912236856</v>
      </c>
      <c r="J62" t="s">
        <v>2</v>
      </c>
      <c r="L62" t="str">
        <f>CONCATENATE(ROUND(I62,1),"% of ",B62," ",C62," litter consists of packaging")</f>
        <v>7,3% of NOR industrial litter consists of packaging</v>
      </c>
      <c r="R62"/>
      <c r="S62" s="25"/>
      <c r="T62" s="27" t="s">
        <v>115</v>
      </c>
      <c r="U62" s="28">
        <f t="shared" si="67"/>
        <v>0.57321769475825213</v>
      </c>
      <c r="V62" s="28">
        <f t="shared" si="70"/>
        <v>4.8547940866462191</v>
      </c>
      <c r="W62" s="28" t="s">
        <v>2</v>
      </c>
      <c r="X62" s="25"/>
      <c r="Y62" s="25"/>
      <c r="Z62" s="28">
        <f t="shared" si="56"/>
        <v>-2.7828538748733398E-2</v>
      </c>
      <c r="AA62" s="25"/>
      <c r="AC62" s="25"/>
      <c r="AD62" s="27" t="s">
        <v>115</v>
      </c>
      <c r="AE62" s="28">
        <f t="shared" si="68"/>
        <v>0.57850383660931115</v>
      </c>
      <c r="AF62" s="28">
        <f t="shared" si="71"/>
        <v>4.8547940866462191</v>
      </c>
      <c r="AG62" s="25" t="s">
        <v>2</v>
      </c>
      <c r="AH62" s="25"/>
      <c r="AI62" s="25"/>
      <c r="AJ62" s="28">
        <f t="shared" si="58"/>
        <v>-2.8085170050730343E-2</v>
      </c>
      <c r="AK62" s="25"/>
      <c r="AM62" s="25"/>
      <c r="AN62" s="27" t="s">
        <v>115</v>
      </c>
      <c r="AO62" s="28">
        <f t="shared" si="69"/>
        <v>0.58210709116435067</v>
      </c>
      <c r="AP62" s="28">
        <f t="shared" si="72"/>
        <v>4.8547940866462191</v>
      </c>
      <c r="AQ62" s="28" t="s">
        <v>2</v>
      </c>
      <c r="AR62" s="25"/>
      <c r="AS62" s="25"/>
      <c r="AT62" s="28">
        <f t="shared" si="60"/>
        <v>-2.8260100639795213E-2</v>
      </c>
      <c r="AU62" s="25"/>
    </row>
    <row r="63" spans="2:47" x14ac:dyDescent="0.2">
      <c r="B63" t="s">
        <v>31</v>
      </c>
      <c r="C63" t="s">
        <v>34</v>
      </c>
      <c r="D63">
        <f>'option 3.2 modernised pack targ'!D72</f>
        <v>18577</v>
      </c>
      <c r="E63">
        <f>'option 3.2 modernised pack targ'!E72</f>
        <v>10205</v>
      </c>
      <c r="G63" s="10">
        <f t="shared" ref="G63:G73" si="73">D63/(D63+E63)*100</f>
        <v>64.543812104787719</v>
      </c>
      <c r="H63" s="1" t="s">
        <v>2</v>
      </c>
      <c r="I63" s="10">
        <f>G63+G64*(G63/(G62+G63))</f>
        <v>66.717460965352458</v>
      </c>
      <c r="J63" t="s">
        <v>2</v>
      </c>
      <c r="L63" t="str">
        <f t="shared" ref="L63:L72" si="74">CONCATENATE(ROUND(I63,1),"% of ",B63," ",C63," litter consists of packaging")</f>
        <v>66,7% of NOR consumer litter consists of packaging</v>
      </c>
      <c r="R63"/>
      <c r="S63" s="25"/>
      <c r="T63" s="27" t="s">
        <v>116</v>
      </c>
      <c r="U63" s="28">
        <f t="shared" si="67"/>
        <v>0.14897440896793696</v>
      </c>
      <c r="V63" s="28">
        <f t="shared" si="70"/>
        <v>4.8547940866462191</v>
      </c>
      <c r="W63" s="28" t="s">
        <v>2</v>
      </c>
      <c r="X63" s="25"/>
      <c r="Y63" s="25"/>
      <c r="Z63" s="28">
        <f t="shared" si="56"/>
        <v>-7.2324007971915584E-3</v>
      </c>
      <c r="AA63" s="25"/>
      <c r="AC63" s="25"/>
      <c r="AD63" s="27" t="s">
        <v>116</v>
      </c>
      <c r="AE63" s="28">
        <f t="shared" si="68"/>
        <v>0.1503482323254213</v>
      </c>
      <c r="AF63" s="28">
        <f t="shared" si="71"/>
        <v>4.8547940866462191</v>
      </c>
      <c r="AG63" s="25" t="s">
        <v>2</v>
      </c>
      <c r="AH63" s="25"/>
      <c r="AI63" s="25"/>
      <c r="AJ63" s="28">
        <f t="shared" si="58"/>
        <v>-7.2990970923116731E-3</v>
      </c>
      <c r="AK63" s="25"/>
      <c r="AM63" s="25"/>
      <c r="AN63" s="27" t="s">
        <v>116</v>
      </c>
      <c r="AO63" s="28">
        <f t="shared" si="69"/>
        <v>0.1512846875720173</v>
      </c>
      <c r="AP63" s="28">
        <f t="shared" si="72"/>
        <v>4.8547940866462191</v>
      </c>
      <c r="AQ63" s="28" t="s">
        <v>2</v>
      </c>
      <c r="AR63" s="25"/>
      <c r="AS63" s="25"/>
      <c r="AT63" s="28">
        <f t="shared" si="60"/>
        <v>-7.3445600662475031E-3</v>
      </c>
      <c r="AU63" s="25"/>
    </row>
    <row r="64" spans="2:47" x14ac:dyDescent="0.2">
      <c r="B64" t="s">
        <v>31</v>
      </c>
      <c r="C64" t="s">
        <v>8</v>
      </c>
      <c r="D64">
        <f>'option 3.2 modernised pack targ'!D73</f>
        <v>589</v>
      </c>
      <c r="E64">
        <f>'option 3.2 modernised pack targ'!E73</f>
        <v>23840</v>
      </c>
      <c r="G64" s="10">
        <f t="shared" si="73"/>
        <v>2.411068811658275</v>
      </c>
      <c r="H64" s="1" t="s">
        <v>2</v>
      </c>
      <c r="I64" s="10"/>
      <c r="R64"/>
      <c r="S64" s="25"/>
      <c r="T64" s="27" t="s">
        <v>41</v>
      </c>
      <c r="U64" s="28">
        <f t="shared" si="67"/>
        <v>0.77899910897470015</v>
      </c>
      <c r="V64" s="28">
        <f t="shared" si="70"/>
        <v>6.1675594316214566</v>
      </c>
      <c r="W64" s="28" t="s">
        <v>2</v>
      </c>
      <c r="X64" s="25"/>
      <c r="Y64" s="25"/>
      <c r="Z64" s="28">
        <f t="shared" si="56"/>
        <v>-4.8045233017816227E-2</v>
      </c>
      <c r="AA64" s="25"/>
      <c r="AC64" s="25"/>
      <c r="AD64" s="27" t="s">
        <v>41</v>
      </c>
      <c r="AE64" s="28">
        <f t="shared" si="68"/>
        <v>0.7861829412770609</v>
      </c>
      <c r="AF64" s="28">
        <f t="shared" si="71"/>
        <v>6.1675594316214566</v>
      </c>
      <c r="AG64" s="25" t="s">
        <v>2</v>
      </c>
      <c r="AH64" s="25"/>
      <c r="AI64" s="25"/>
      <c r="AJ64" s="28">
        <f t="shared" si="58"/>
        <v>-4.8488300144532342E-2</v>
      </c>
      <c r="AK64" s="25"/>
      <c r="AM64" s="25"/>
      <c r="AN64" s="27" t="s">
        <v>41</v>
      </c>
      <c r="AO64" s="28">
        <f t="shared" si="69"/>
        <v>0.79107974071897003</v>
      </c>
      <c r="AP64" s="28">
        <f t="shared" si="72"/>
        <v>6.1675594316214566</v>
      </c>
      <c r="AQ64" s="28" t="s">
        <v>2</v>
      </c>
      <c r="AR64" s="25"/>
      <c r="AS64" s="25"/>
      <c r="AT64" s="28">
        <f t="shared" si="60"/>
        <v>-4.8790313160359401E-2</v>
      </c>
      <c r="AU64" s="25"/>
    </row>
    <row r="65" spans="2:47" x14ac:dyDescent="0.2">
      <c r="B65" t="s">
        <v>35</v>
      </c>
      <c r="C65" t="s">
        <v>7</v>
      </c>
      <c r="D65">
        <f>'option 3.2 modernised pack targ'!D74</f>
        <v>1181</v>
      </c>
      <c r="E65">
        <f>'option 3.2 modernised pack targ'!E74</f>
        <v>2444</v>
      </c>
      <c r="G65" s="10">
        <f t="shared" si="73"/>
        <v>32.57931034482759</v>
      </c>
      <c r="H65" s="1" t="s">
        <v>2</v>
      </c>
      <c r="I65" s="10">
        <f>G65+G67*(G65/(G65+G66))</f>
        <v>33.490694179104082</v>
      </c>
      <c r="J65" t="s">
        <v>2</v>
      </c>
      <c r="L65" t="str">
        <f t="shared" si="74"/>
        <v>33,5% of BAL industrial litter consists of packaging</v>
      </c>
      <c r="S65" s="25"/>
      <c r="T65" s="27" t="s">
        <v>105</v>
      </c>
      <c r="U65" s="28">
        <f t="shared" si="67"/>
        <v>0.1193803572281561</v>
      </c>
      <c r="V65" s="28">
        <f t="shared" si="70"/>
        <v>6.3149612916771867</v>
      </c>
      <c r="W65" s="28" t="s">
        <v>2</v>
      </c>
      <c r="X65" s="25"/>
      <c r="Y65" s="25"/>
      <c r="Z65" s="28">
        <f t="shared" si="56"/>
        <v>-7.5388233488240062E-3</v>
      </c>
      <c r="AA65" s="25"/>
      <c r="AC65" s="25"/>
      <c r="AD65" s="27" t="s">
        <v>105</v>
      </c>
      <c r="AE65" s="28">
        <f t="shared" si="68"/>
        <v>0.12048126794376871</v>
      </c>
      <c r="AF65" s="28">
        <f t="shared" si="71"/>
        <v>6.3149612916771867</v>
      </c>
      <c r="AG65" s="25" t="s">
        <v>2</v>
      </c>
      <c r="AH65" s="25"/>
      <c r="AI65" s="25"/>
      <c r="AJ65" s="28">
        <f t="shared" si="58"/>
        <v>-7.608345434370869E-3</v>
      </c>
      <c r="AK65" s="25"/>
      <c r="AM65" s="25"/>
      <c r="AN65" s="27" t="s">
        <v>105</v>
      </c>
      <c r="AO65" s="28">
        <f t="shared" si="69"/>
        <v>0.12123169456161065</v>
      </c>
      <c r="AP65" s="28">
        <f t="shared" si="72"/>
        <v>6.3149612916771867</v>
      </c>
      <c r="AQ65" s="28" t="s">
        <v>2</v>
      </c>
      <c r="AR65" s="25"/>
      <c r="AS65" s="25"/>
      <c r="AT65" s="28">
        <f t="shared" si="60"/>
        <v>-7.6557345848100285E-3</v>
      </c>
      <c r="AU65" s="25"/>
    </row>
    <row r="66" spans="2:47" x14ac:dyDescent="0.2">
      <c r="B66" t="s">
        <v>35</v>
      </c>
      <c r="C66" t="s">
        <v>34</v>
      </c>
      <c r="D66">
        <f>'option 3.2 modernised pack targ'!D75</f>
        <v>6272</v>
      </c>
      <c r="E66">
        <f>'option 3.2 modernised pack targ'!E75</f>
        <v>3949</v>
      </c>
      <c r="G66" s="10">
        <f t="shared" si="73"/>
        <v>61.363858722238533</v>
      </c>
      <c r="H66" s="1" t="s">
        <v>2</v>
      </c>
      <c r="I66" s="10">
        <f>G66+G67*(G66/(G65+G66))</f>
        <v>63.080470530663561</v>
      </c>
      <c r="J66" t="s">
        <v>2</v>
      </c>
      <c r="L66" t="str">
        <f t="shared" si="74"/>
        <v>63,1% of BAL consumer litter consists of packaging</v>
      </c>
      <c r="S66" s="25"/>
      <c r="T66" s="27" t="s">
        <v>52</v>
      </c>
      <c r="U66" s="28">
        <f t="shared" si="67"/>
        <v>0.17822901816634296</v>
      </c>
      <c r="V66" s="28">
        <f t="shared" si="70"/>
        <v>0</v>
      </c>
      <c r="W66" s="28" t="s">
        <v>2</v>
      </c>
      <c r="X66" s="25"/>
      <c r="Y66" s="25"/>
      <c r="Z66" s="28">
        <f t="shared" si="56"/>
        <v>0</v>
      </c>
      <c r="AA66" s="25"/>
      <c r="AC66" s="25"/>
      <c r="AD66" s="27" t="s">
        <v>52</v>
      </c>
      <c r="AE66" s="28">
        <f t="shared" si="68"/>
        <v>0.17987262386905875</v>
      </c>
      <c r="AF66" s="28">
        <f t="shared" si="71"/>
        <v>0</v>
      </c>
      <c r="AG66" s="25" t="s">
        <v>2</v>
      </c>
      <c r="AH66" s="25"/>
      <c r="AI66" s="25"/>
      <c r="AJ66" s="28">
        <f t="shared" si="58"/>
        <v>0</v>
      </c>
      <c r="AK66" s="25"/>
      <c r="AM66" s="25"/>
      <c r="AN66" s="27" t="s">
        <v>52</v>
      </c>
      <c r="AO66" s="28">
        <f t="shared" si="69"/>
        <v>0.18099297400378192</v>
      </c>
      <c r="AP66" s="28">
        <f t="shared" si="72"/>
        <v>0</v>
      </c>
      <c r="AQ66" s="28" t="s">
        <v>2</v>
      </c>
      <c r="AR66" s="25"/>
      <c r="AS66" s="25"/>
      <c r="AT66" s="28">
        <f t="shared" si="60"/>
        <v>0</v>
      </c>
      <c r="AU66" s="25"/>
    </row>
    <row r="67" spans="2:47" ht="13.5" thickBot="1" x14ac:dyDescent="0.25">
      <c r="B67" t="s">
        <v>35</v>
      </c>
      <c r="C67" t="s">
        <v>8</v>
      </c>
      <c r="D67">
        <f>'option 3.2 modernised pack targ'!D76</f>
        <v>193</v>
      </c>
      <c r="E67">
        <f>'option 3.2 modernised pack targ'!E76</f>
        <v>7151</v>
      </c>
      <c r="G67" s="10">
        <f t="shared" si="73"/>
        <v>2.6279956427015252</v>
      </c>
      <c r="H67" s="1" t="s">
        <v>2</v>
      </c>
      <c r="S67" s="25"/>
      <c r="T67" s="25"/>
      <c r="U67" s="25"/>
      <c r="V67" s="25"/>
      <c r="W67" s="25"/>
      <c r="X67" s="25"/>
      <c r="Y67" s="25"/>
      <c r="Z67" s="25"/>
      <c r="AA67" s="25"/>
      <c r="AC67" s="25"/>
      <c r="AD67" s="25"/>
      <c r="AE67" s="25"/>
      <c r="AF67" s="25"/>
      <c r="AG67" s="25"/>
      <c r="AH67" s="25"/>
      <c r="AI67" s="25"/>
      <c r="AJ67" s="25"/>
      <c r="AK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2:47" ht="13.5" thickBot="1" x14ac:dyDescent="0.25">
      <c r="B68" t="s">
        <v>36</v>
      </c>
      <c r="C68" t="s">
        <v>7</v>
      </c>
      <c r="D68">
        <f>'option 3.2 modernised pack targ'!D77</f>
        <v>15</v>
      </c>
      <c r="E68">
        <f>'option 3.2 modernised pack targ'!E77</f>
        <v>320</v>
      </c>
      <c r="G68" s="10">
        <f t="shared" si="73"/>
        <v>4.4776119402985071</v>
      </c>
      <c r="H68" s="1" t="s">
        <v>2</v>
      </c>
      <c r="I68" s="10">
        <f>G68+G70*(G68/(G68+G69))</f>
        <v>4.7310359768566617</v>
      </c>
      <c r="J68" t="s">
        <v>2</v>
      </c>
      <c r="L68" t="str">
        <f t="shared" si="74"/>
        <v>4,7% of BLA industrial litter consists of packaging</v>
      </c>
      <c r="S68" s="25"/>
      <c r="T68" s="25"/>
      <c r="U68" s="25"/>
      <c r="V68" s="25"/>
      <c r="W68" s="25"/>
      <c r="X68" s="30"/>
      <c r="Y68" s="31" t="s">
        <v>21</v>
      </c>
      <c r="Z68" s="122">
        <f>SUM(Z18:Z66)</f>
        <v>63.886527856333863</v>
      </c>
      <c r="AA68" s="25"/>
      <c r="AC68" s="25"/>
      <c r="AD68" s="25"/>
      <c r="AE68" s="25"/>
      <c r="AF68" s="25"/>
      <c r="AG68" s="25"/>
      <c r="AH68" s="30"/>
      <c r="AI68" s="31" t="s">
        <v>193</v>
      </c>
      <c r="AJ68" s="122">
        <f>SUM(AJ18:AJ66)</f>
        <v>64.28321138978464</v>
      </c>
      <c r="AK68" s="25"/>
      <c r="AM68" s="25"/>
      <c r="AN68" s="25"/>
      <c r="AO68" s="25"/>
      <c r="AP68" s="25"/>
      <c r="AQ68" s="25"/>
      <c r="AR68" s="30"/>
      <c r="AS68" s="31" t="s">
        <v>148</v>
      </c>
      <c r="AT68" s="122">
        <f>SUM(AT18:AT66)</f>
        <v>64.553607415674364</v>
      </c>
      <c r="AU68" s="25"/>
    </row>
    <row r="69" spans="2:47" x14ac:dyDescent="0.2">
      <c r="B69" t="s">
        <v>36</v>
      </c>
      <c r="C69" t="s">
        <v>34</v>
      </c>
      <c r="D69">
        <f>'option 3.2 modernised pack targ'!D78</f>
        <v>2636</v>
      </c>
      <c r="E69">
        <f>'option 3.2 modernised pack targ'!E78</f>
        <v>2609</v>
      </c>
      <c r="G69" s="10">
        <f t="shared" si="73"/>
        <v>50.257387988560531</v>
      </c>
      <c r="H69" s="1" t="s">
        <v>2</v>
      </c>
      <c r="I69" s="10">
        <f>G69+G70*(G69/(G68+G69))</f>
        <v>53.101857384468303</v>
      </c>
      <c r="J69" t="s">
        <v>2</v>
      </c>
      <c r="L69" t="str">
        <f t="shared" si="74"/>
        <v>53,1% of BLA consumer litter consists of packaging</v>
      </c>
      <c r="S69" s="25"/>
      <c r="T69" s="25"/>
      <c r="U69" s="25"/>
      <c r="V69" s="25"/>
      <c r="W69" s="25"/>
      <c r="X69" s="25"/>
      <c r="Y69" s="25"/>
      <c r="Z69" s="25"/>
      <c r="AA69" s="25"/>
      <c r="AC69" s="25"/>
      <c r="AD69" s="25"/>
      <c r="AE69" s="25"/>
      <c r="AF69" s="25"/>
      <c r="AG69" s="25"/>
      <c r="AH69" s="25"/>
      <c r="AI69" s="25"/>
      <c r="AJ69" s="25"/>
      <c r="AK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2:47" ht="13.5" thickBot="1" x14ac:dyDescent="0.25">
      <c r="B70" t="s">
        <v>36</v>
      </c>
      <c r="C70" t="s">
        <v>8</v>
      </c>
      <c r="D70">
        <f>'option 3.2 modernised pack targ'!D79</f>
        <v>25</v>
      </c>
      <c r="E70">
        <f>'option 3.2 modernised pack targ'!E79</f>
        <v>782</v>
      </c>
      <c r="G70" s="10">
        <f t="shared" si="73"/>
        <v>3.0978934324659235</v>
      </c>
      <c r="H70" s="1" t="s">
        <v>2</v>
      </c>
      <c r="I70" s="10"/>
      <c r="S70" s="25"/>
      <c r="T70" s="25"/>
      <c r="U70" s="25"/>
      <c r="V70" s="25"/>
      <c r="W70" s="25"/>
      <c r="X70" s="25"/>
      <c r="Y70" s="25"/>
      <c r="Z70" s="25"/>
      <c r="AA70" s="25"/>
      <c r="AC70" s="25"/>
      <c r="AD70" s="25"/>
      <c r="AE70" s="25"/>
      <c r="AF70" s="25"/>
      <c r="AG70" s="25"/>
      <c r="AH70" s="25"/>
      <c r="AI70" s="25"/>
      <c r="AJ70" s="25"/>
      <c r="AK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2:47" ht="13.5" thickBot="1" x14ac:dyDescent="0.25">
      <c r="B71" t="s">
        <v>37</v>
      </c>
      <c r="C71" t="s">
        <v>7</v>
      </c>
      <c r="D71">
        <f>'option 3.2 modernised pack targ'!D80</f>
        <v>241</v>
      </c>
      <c r="E71">
        <f>'option 3.2 modernised pack targ'!E80</f>
        <v>535</v>
      </c>
      <c r="G71" s="10">
        <f t="shared" si="73"/>
        <v>31.056701030927837</v>
      </c>
      <c r="H71" s="1" t="s">
        <v>2</v>
      </c>
      <c r="I71" s="10">
        <f>G71+G73*(G71/(G71+G72))</f>
        <v>32.847440903542989</v>
      </c>
      <c r="J71" t="s">
        <v>2</v>
      </c>
      <c r="L71" t="str">
        <f t="shared" si="74"/>
        <v>32,8% of MED industrial litter consists of packaging</v>
      </c>
      <c r="S71" s="25"/>
      <c r="T71" s="25"/>
      <c r="U71" s="25"/>
      <c r="V71" s="25"/>
      <c r="W71" s="25"/>
      <c r="X71" s="30" t="s">
        <v>99</v>
      </c>
      <c r="Y71" s="32"/>
      <c r="Z71" s="35">
        <f>100-Z68</f>
        <v>36.113472143666137</v>
      </c>
      <c r="AA71" s="33" t="s">
        <v>2</v>
      </c>
      <c r="AC71" s="25"/>
      <c r="AD71" s="25"/>
      <c r="AE71" s="25"/>
      <c r="AF71" s="25"/>
      <c r="AG71" s="25"/>
      <c r="AH71" s="30" t="s">
        <v>99</v>
      </c>
      <c r="AI71" s="32"/>
      <c r="AJ71" s="35">
        <f>100-AJ68</f>
        <v>35.71678861021536</v>
      </c>
      <c r="AK71" s="33" t="s">
        <v>2</v>
      </c>
      <c r="AM71" s="25"/>
      <c r="AN71" s="25"/>
      <c r="AO71" s="25"/>
      <c r="AP71" s="25"/>
      <c r="AQ71" s="25"/>
      <c r="AR71" s="30" t="s">
        <v>99</v>
      </c>
      <c r="AS71" s="32"/>
      <c r="AT71" s="35">
        <f>100-AT68</f>
        <v>35.446392584325636</v>
      </c>
      <c r="AU71" s="33" t="s">
        <v>2</v>
      </c>
    </row>
    <row r="72" spans="2:47" x14ac:dyDescent="0.2">
      <c r="B72" t="s">
        <v>37</v>
      </c>
      <c r="C72" t="s">
        <v>34</v>
      </c>
      <c r="D72">
        <f>'option 3.2 modernised pack targ'!D81</f>
        <v>17044</v>
      </c>
      <c r="E72">
        <f>'option 3.2 modernised pack targ'!E81</f>
        <v>6716</v>
      </c>
      <c r="G72" s="10">
        <f t="shared" si="73"/>
        <v>71.734006734006741</v>
      </c>
      <c r="H72" s="1" t="s">
        <v>2</v>
      </c>
      <c r="I72" s="10">
        <f>G72+G73*(G72/(G71+G72))</f>
        <v>75.870213794541144</v>
      </c>
      <c r="J72" t="s">
        <v>2</v>
      </c>
      <c r="L72" t="str">
        <f t="shared" si="74"/>
        <v>75,9% of MED consumer litter consists of packaging</v>
      </c>
      <c r="S72" s="25"/>
      <c r="T72" s="25"/>
      <c r="U72" s="25"/>
      <c r="V72" s="25"/>
      <c r="W72" s="25"/>
      <c r="X72" s="25"/>
      <c r="Y72" s="25"/>
      <c r="Z72" s="25"/>
      <c r="AA72" s="25"/>
      <c r="AC72" s="25"/>
      <c r="AD72" s="25"/>
      <c r="AE72" s="25"/>
      <c r="AF72" s="25"/>
      <c r="AG72" s="25"/>
      <c r="AH72" s="25"/>
      <c r="AI72" s="25"/>
      <c r="AJ72" s="25"/>
      <c r="AK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2:47" x14ac:dyDescent="0.2">
      <c r="B73" t="s">
        <v>37</v>
      </c>
      <c r="C73" t="s">
        <v>8</v>
      </c>
      <c r="D73">
        <f>'option 3.2 modernised pack targ'!D82</f>
        <v>86</v>
      </c>
      <c r="E73">
        <f>'option 3.2 modernised pack targ'!E82</f>
        <v>1365</v>
      </c>
      <c r="G73" s="10">
        <f t="shared" si="73"/>
        <v>5.9269469331495523</v>
      </c>
      <c r="H73" s="1" t="s">
        <v>2</v>
      </c>
    </row>
    <row r="74" spans="2:47" x14ac:dyDescent="0.2">
      <c r="I74" s="209">
        <f>'option 3.2 modernised pack targ'!I83</f>
        <v>60.789731032131009</v>
      </c>
      <c r="J74" s="195" t="s">
        <v>2</v>
      </c>
      <c r="L74" t="str">
        <f>'option 3.2 modernised pack targ'!L83</f>
        <v>60,8% of EU consumer litter consists of packaging</v>
      </c>
    </row>
    <row r="75" spans="2:47" x14ac:dyDescent="0.2">
      <c r="I75" s="180">
        <f>'option 3.2 modernised pack targ'!I84</f>
        <v>7.3719774495337935</v>
      </c>
      <c r="J75" s="186" t="s">
        <v>2</v>
      </c>
      <c r="L75" t="str">
        <f>'option 3.2 modernised pack targ'!L84</f>
        <v>7,4% of EU industrial litter consists of packaging</v>
      </c>
    </row>
    <row r="79" spans="2:47" x14ac:dyDescent="0.2">
      <c r="B79" s="84" t="s">
        <v>68</v>
      </c>
      <c r="C79" s="53"/>
    </row>
    <row r="80" spans="2:47" x14ac:dyDescent="0.2">
      <c r="B80" t="str">
        <f>'option 3.2 modernised pack targ'!B89</f>
        <v>as in option 1</v>
      </c>
    </row>
    <row r="81" spans="2:15" x14ac:dyDescent="0.2">
      <c r="L81" s="1" t="str">
        <f>'option 3.2 modernised pack targ'!R75</f>
        <v>EU averages are weighed, based on:</v>
      </c>
      <c r="M81" s="1"/>
      <c r="N81" s="1"/>
      <c r="O81" s="1"/>
    </row>
    <row r="82" spans="2:15" ht="14.25" x14ac:dyDescent="0.2">
      <c r="B82" s="12" t="s">
        <v>69</v>
      </c>
      <c r="C82" s="12" t="s">
        <v>70</v>
      </c>
      <c r="D82" s="12" t="s">
        <v>71</v>
      </c>
      <c r="E82" s="12" t="s">
        <v>72</v>
      </c>
      <c r="F82" s="12" t="s">
        <v>73</v>
      </c>
      <c r="L82" s="1"/>
      <c r="M82" s="1" t="str">
        <f>'option 3.2 modernised pack targ'!S76</f>
        <v>km</v>
      </c>
      <c r="N82" s="1"/>
      <c r="O82" s="1"/>
    </row>
    <row r="83" spans="2:15" ht="14.25" x14ac:dyDescent="0.2">
      <c r="B83" s="285">
        <f>'option 3.2 modernised pack targ'!B92</f>
        <v>219</v>
      </c>
      <c r="C83" s="14" t="s">
        <v>35</v>
      </c>
      <c r="D83" s="14" t="s">
        <v>63</v>
      </c>
      <c r="E83" s="14" t="s">
        <v>32</v>
      </c>
      <c r="F83" s="14" t="s">
        <v>34</v>
      </c>
      <c r="H83" s="1">
        <f t="shared" ref="H83:H88" si="75">B83/$B$89*100</f>
        <v>3.3973033008968847</v>
      </c>
      <c r="L83" s="1"/>
      <c r="M83" s="1"/>
      <c r="N83" s="1" t="str">
        <f>'option 3.2 modernised pack targ'!T77</f>
        <v>Share of coastline</v>
      </c>
      <c r="O83" s="1" t="str">
        <f>'option 3.2 modernised pack targ'!U77</f>
        <v># of surveys</v>
      </c>
    </row>
    <row r="84" spans="2:15" ht="14.25" x14ac:dyDescent="0.2">
      <c r="B84" s="285">
        <f>'option 3.2 modernised pack targ'!B93</f>
        <v>1046.9933523266857</v>
      </c>
      <c r="C84" s="14" t="s">
        <v>35</v>
      </c>
      <c r="D84" s="14" t="s">
        <v>76</v>
      </c>
      <c r="E84" s="14" t="s">
        <v>32</v>
      </c>
      <c r="F84" s="14" t="s">
        <v>34</v>
      </c>
      <c r="H84" s="1">
        <f t="shared" si="75"/>
        <v>16.241798958340382</v>
      </c>
      <c r="L84" s="86" t="str">
        <f>'option 3.2 modernised pack targ'!R78</f>
        <v>Baltic Sea</v>
      </c>
      <c r="M84" s="1">
        <f>'option 3.2 modernised pack targ'!S78</f>
        <v>13080</v>
      </c>
      <c r="N84" s="210">
        <f>'option 3.2 modernised pack targ'!T78</f>
        <v>0.26286173633440513</v>
      </c>
      <c r="O84" s="1">
        <f>'option 3.2 modernised pack targ'!U78</f>
        <v>152</v>
      </c>
    </row>
    <row r="85" spans="2:15" ht="14.25" x14ac:dyDescent="0.2">
      <c r="B85" s="285">
        <f>'option 3.2 modernised pack targ'!B94</f>
        <v>426</v>
      </c>
      <c r="C85" s="14" t="s">
        <v>35</v>
      </c>
      <c r="D85" s="14" t="s">
        <v>77</v>
      </c>
      <c r="E85" s="14" t="s">
        <v>32</v>
      </c>
      <c r="F85" s="14" t="s">
        <v>34</v>
      </c>
      <c r="H85" s="1">
        <f t="shared" si="75"/>
        <v>6.6084529962651724</v>
      </c>
      <c r="L85" s="86" t="str">
        <f>'option 3.2 modernised pack targ'!R79</f>
        <v>Mediterranean Sea</v>
      </c>
      <c r="M85" s="1">
        <f>'option 3.2 modernised pack targ'!S79</f>
        <v>16164</v>
      </c>
      <c r="N85" s="210">
        <f>'option 3.2 modernised pack targ'!T79</f>
        <v>0.32483922829581996</v>
      </c>
      <c r="O85" s="1">
        <f>'option 3.2 modernised pack targ'!U79</f>
        <v>33</v>
      </c>
    </row>
    <row r="86" spans="2:15" ht="14.25" x14ac:dyDescent="0.2">
      <c r="B86" s="285">
        <f>'option 3.2 modernised pack targ'!B95</f>
        <v>4296.2959719789842</v>
      </c>
      <c r="C86" s="14" t="s">
        <v>35</v>
      </c>
      <c r="D86" s="14" t="s">
        <v>78</v>
      </c>
      <c r="E86" s="14" t="s">
        <v>32</v>
      </c>
      <c r="F86" s="14" t="s">
        <v>34</v>
      </c>
      <c r="H86" s="1">
        <f t="shared" si="75"/>
        <v>66.647582133489465</v>
      </c>
      <c r="L86" s="86" t="str">
        <f>'option 3.2 modernised pack targ'!R80</f>
        <v>North Sea</v>
      </c>
      <c r="M86" s="1">
        <f>'option 3.2 modernised pack targ'!S80</f>
        <v>19885</v>
      </c>
      <c r="N86" s="210">
        <f>'option 3.2 modernised pack targ'!T80</f>
        <v>0.39961816720257237</v>
      </c>
      <c r="O86" s="1">
        <f>'option 3.2 modernised pack targ'!U80</f>
        <v>151</v>
      </c>
    </row>
    <row r="87" spans="2:15" ht="14.25" x14ac:dyDescent="0.2">
      <c r="B87" s="285">
        <f>'option 3.2 modernised pack targ'!B96</f>
        <v>229</v>
      </c>
      <c r="C87" s="14" t="s">
        <v>35</v>
      </c>
      <c r="D87" s="14" t="s">
        <v>79</v>
      </c>
      <c r="E87" s="14" t="s">
        <v>32</v>
      </c>
      <c r="F87" s="14" t="s">
        <v>34</v>
      </c>
      <c r="H87" s="1">
        <f t="shared" si="75"/>
        <v>3.5524313055040482</v>
      </c>
      <c r="L87" s="86" t="str">
        <f>'option 3.2 modernised pack targ'!R81</f>
        <v>Black Sea</v>
      </c>
      <c r="M87" s="1">
        <f>'option 3.2 modernised pack targ'!S81</f>
        <v>631</v>
      </c>
      <c r="N87" s="210">
        <f>'option 3.2 modernised pack targ'!T81</f>
        <v>1.2680868167202573E-2</v>
      </c>
      <c r="O87" s="1">
        <f>'option 3.2 modernised pack targ'!U81</f>
        <v>7</v>
      </c>
    </row>
    <row r="88" spans="2:15" ht="14.25" x14ac:dyDescent="0.2">
      <c r="B88" s="285">
        <f>'option 3.2 modernised pack targ'!B97</f>
        <v>229</v>
      </c>
      <c r="C88" s="14" t="s">
        <v>35</v>
      </c>
      <c r="D88" s="14" t="s">
        <v>80</v>
      </c>
      <c r="E88" s="14" t="s">
        <v>32</v>
      </c>
      <c r="F88" s="14" t="s">
        <v>34</v>
      </c>
      <c r="H88" s="1">
        <f t="shared" si="75"/>
        <v>3.5524313055040482</v>
      </c>
      <c r="L88" s="86" t="str">
        <f>'option 3.2 modernised pack targ'!R82</f>
        <v>Total coast line</v>
      </c>
      <c r="M88" s="1">
        <f>'option 3.2 modernised pack targ'!S82</f>
        <v>49760</v>
      </c>
      <c r="N88" s="210">
        <f>'option 3.2 modernised pack targ'!T82</f>
        <v>1</v>
      </c>
      <c r="O88" s="1">
        <f>'option 3.2 modernised pack targ'!U82</f>
        <v>0</v>
      </c>
    </row>
    <row r="89" spans="2:15" ht="14.25" x14ac:dyDescent="0.2">
      <c r="B89" s="278">
        <f>SUM(B83:B88)</f>
        <v>6446.2893243056697</v>
      </c>
      <c r="C89" s="14"/>
      <c r="D89" s="14"/>
      <c r="E89" s="14"/>
      <c r="F89" s="14"/>
      <c r="H89" s="16">
        <f>SUM(H83:H88)</f>
        <v>99.999999999999986</v>
      </c>
    </row>
    <row r="90" spans="2:15" ht="14.25" x14ac:dyDescent="0.2">
      <c r="B90" s="285">
        <f>'option 3.2 modernised pack targ'!B99</f>
        <v>24</v>
      </c>
      <c r="C90" s="14" t="s">
        <v>36</v>
      </c>
      <c r="D90" s="14" t="s">
        <v>63</v>
      </c>
      <c r="E90" s="14" t="s">
        <v>32</v>
      </c>
      <c r="F90" s="14" t="s">
        <v>34</v>
      </c>
      <c r="H90" s="1">
        <f t="shared" ref="H90:H95" si="76">B90/$B$96*100</f>
        <v>0.90739181920646006</v>
      </c>
    </row>
    <row r="91" spans="2:15" ht="14.25" x14ac:dyDescent="0.2">
      <c r="B91" s="285">
        <f>'option 3.2 modernised pack targ'!B100</f>
        <v>482.94339622641508</v>
      </c>
      <c r="C91" s="14" t="s">
        <v>36</v>
      </c>
      <c r="D91" s="14" t="s">
        <v>76</v>
      </c>
      <c r="E91" s="14" t="s">
        <v>32</v>
      </c>
      <c r="F91" s="14" t="s">
        <v>34</v>
      </c>
      <c r="H91" s="1">
        <f t="shared" si="76"/>
        <v>18.259120286484713</v>
      </c>
    </row>
    <row r="92" spans="2:15" ht="14.25" x14ac:dyDescent="0.2">
      <c r="B92" s="285">
        <f>'option 3.2 modernised pack targ'!B101</f>
        <v>44</v>
      </c>
      <c r="C92" s="14" t="s">
        <v>36</v>
      </c>
      <c r="D92" s="14" t="s">
        <v>77</v>
      </c>
      <c r="E92" s="14" t="s">
        <v>32</v>
      </c>
      <c r="F92" s="14" t="s">
        <v>34</v>
      </c>
      <c r="H92" s="1">
        <f t="shared" si="76"/>
        <v>1.6635516685451768</v>
      </c>
    </row>
    <row r="93" spans="2:15" ht="14.25" x14ac:dyDescent="0.2">
      <c r="B93" s="285">
        <f>'option 3.2 modernised pack targ'!B102</f>
        <v>2024</v>
      </c>
      <c r="C93" s="14" t="s">
        <v>36</v>
      </c>
      <c r="D93" s="14" t="s">
        <v>78</v>
      </c>
      <c r="E93" s="14" t="s">
        <v>32</v>
      </c>
      <c r="F93" s="14" t="s">
        <v>34</v>
      </c>
      <c r="H93" s="1">
        <f t="shared" si="76"/>
        <v>76.523376753078139</v>
      </c>
    </row>
    <row r="94" spans="2:15" ht="14.25" x14ac:dyDescent="0.2">
      <c r="B94" s="285">
        <f>'option 3.2 modernised pack targ'!B103</f>
        <v>69</v>
      </c>
      <c r="C94" s="14" t="s">
        <v>36</v>
      </c>
      <c r="D94" s="14" t="s">
        <v>79</v>
      </c>
      <c r="E94" s="14" t="s">
        <v>32</v>
      </c>
      <c r="F94" s="14" t="s">
        <v>34</v>
      </c>
      <c r="H94" s="1">
        <f t="shared" si="76"/>
        <v>2.6087514802185732</v>
      </c>
    </row>
    <row r="95" spans="2:15" ht="14.25" x14ac:dyDescent="0.2">
      <c r="B95" s="285">
        <f>'option 3.2 modernised pack targ'!B104</f>
        <v>1</v>
      </c>
      <c r="C95" s="14" t="s">
        <v>36</v>
      </c>
      <c r="D95" s="14" t="s">
        <v>80</v>
      </c>
      <c r="E95" s="14" t="s">
        <v>32</v>
      </c>
      <c r="F95" s="14" t="s">
        <v>34</v>
      </c>
      <c r="H95" s="1">
        <f t="shared" si="76"/>
        <v>3.7807992466935843E-2</v>
      </c>
    </row>
    <row r="96" spans="2:15" ht="14.25" x14ac:dyDescent="0.2">
      <c r="B96" s="278">
        <f>SUM(B90:B95)</f>
        <v>2644.9433962264152</v>
      </c>
      <c r="C96" s="14"/>
      <c r="D96" s="14"/>
      <c r="E96" s="14"/>
      <c r="F96" s="14"/>
      <c r="H96" s="16">
        <f>SUM(H90:H95)</f>
        <v>100</v>
      </c>
    </row>
    <row r="97" spans="2:8" ht="14.25" x14ac:dyDescent="0.2">
      <c r="B97" s="285">
        <f>'option 3.2 modernised pack targ'!B106</f>
        <v>923</v>
      </c>
      <c r="C97" s="14" t="s">
        <v>37</v>
      </c>
      <c r="D97" s="14" t="s">
        <v>63</v>
      </c>
      <c r="E97" s="14" t="s">
        <v>32</v>
      </c>
      <c r="F97" s="14" t="s">
        <v>34</v>
      </c>
      <c r="H97" s="1">
        <f t="shared" ref="H97:H102" si="77">B97/$B$103*100</f>
        <v>5.3898006523170325</v>
      </c>
    </row>
    <row r="98" spans="2:8" ht="14.25" x14ac:dyDescent="0.2">
      <c r="B98" s="285">
        <f>'option 3.2 modernised pack targ'!B107</f>
        <v>512</v>
      </c>
      <c r="C98" s="14" t="s">
        <v>37</v>
      </c>
      <c r="D98" s="14" t="s">
        <v>76</v>
      </c>
      <c r="E98" s="14" t="s">
        <v>32</v>
      </c>
      <c r="F98" s="14" t="s">
        <v>34</v>
      </c>
      <c r="H98" s="1">
        <f t="shared" si="77"/>
        <v>2.9897919111444424</v>
      </c>
    </row>
    <row r="99" spans="2:8" ht="14.25" x14ac:dyDescent="0.2">
      <c r="B99" s="285">
        <f>'option 3.2 modernised pack targ'!B108</f>
        <v>1597</v>
      </c>
      <c r="C99" s="14" t="s">
        <v>37</v>
      </c>
      <c r="D99" s="14" t="s">
        <v>77</v>
      </c>
      <c r="E99" s="14" t="s">
        <v>32</v>
      </c>
      <c r="F99" s="14" t="s">
        <v>34</v>
      </c>
      <c r="H99" s="1">
        <f t="shared" si="77"/>
        <v>9.3255814103470218</v>
      </c>
    </row>
    <row r="100" spans="2:8" ht="14.25" x14ac:dyDescent="0.2">
      <c r="B100" s="285">
        <f>'option 3.2 modernised pack targ'!B109</f>
        <v>14022.937628318585</v>
      </c>
      <c r="C100" s="14" t="s">
        <v>37</v>
      </c>
      <c r="D100" s="14" t="s">
        <v>78</v>
      </c>
      <c r="E100" s="14" t="s">
        <v>32</v>
      </c>
      <c r="F100" s="14" t="s">
        <v>34</v>
      </c>
      <c r="H100" s="1">
        <f t="shared" si="77"/>
        <v>81.886065413339722</v>
      </c>
    </row>
    <row r="101" spans="2:8" ht="14.25" x14ac:dyDescent="0.2">
      <c r="B101" s="285">
        <f>'option 3.2 modernised pack targ'!B110</f>
        <v>38</v>
      </c>
      <c r="C101" s="14" t="s">
        <v>37</v>
      </c>
      <c r="D101" s="14" t="s">
        <v>79</v>
      </c>
      <c r="E101" s="14" t="s">
        <v>32</v>
      </c>
      <c r="F101" s="14" t="s">
        <v>34</v>
      </c>
      <c r="H101" s="1">
        <f t="shared" si="77"/>
        <v>0.2218986184052516</v>
      </c>
    </row>
    <row r="102" spans="2:8" ht="14.25" x14ac:dyDescent="0.2">
      <c r="B102" s="285">
        <f>'option 3.2 modernised pack targ'!B111</f>
        <v>32</v>
      </c>
      <c r="C102" s="14" t="s">
        <v>37</v>
      </c>
      <c r="D102" s="14" t="s">
        <v>80</v>
      </c>
      <c r="E102" s="14" t="s">
        <v>32</v>
      </c>
      <c r="F102" s="14" t="s">
        <v>34</v>
      </c>
      <c r="H102" s="1">
        <f t="shared" si="77"/>
        <v>0.18686199444652765</v>
      </c>
    </row>
    <row r="103" spans="2:8" ht="14.25" x14ac:dyDescent="0.2">
      <c r="B103" s="278">
        <f>SUM(B97:B102)</f>
        <v>17124.937628318585</v>
      </c>
      <c r="C103" s="14"/>
      <c r="D103" s="14"/>
      <c r="E103" s="14"/>
      <c r="F103" s="14"/>
      <c r="H103" s="16">
        <f>SUM(H97:H102)</f>
        <v>100</v>
      </c>
    </row>
    <row r="104" spans="2:8" ht="14.25" x14ac:dyDescent="0.2">
      <c r="B104" s="285">
        <f>'option 3.2 modernised pack targ'!B113</f>
        <v>171</v>
      </c>
      <c r="C104" s="14" t="s">
        <v>31</v>
      </c>
      <c r="D104" s="14" t="s">
        <v>63</v>
      </c>
      <c r="E104" s="14" t="s">
        <v>32</v>
      </c>
      <c r="F104" s="14" t="s">
        <v>34</v>
      </c>
      <c r="H104" s="1">
        <f t="shared" ref="H104:H109" si="78">B104/$B$110*100</f>
        <v>0.89511083776975808</v>
      </c>
    </row>
    <row r="105" spans="2:8" ht="14.25" x14ac:dyDescent="0.2">
      <c r="B105" s="285">
        <f>'option 3.2 modernised pack targ'!B114</f>
        <v>747.52475247524751</v>
      </c>
      <c r="C105" s="14" t="s">
        <v>31</v>
      </c>
      <c r="D105" s="14" t="s">
        <v>76</v>
      </c>
      <c r="E105" s="14" t="s">
        <v>32</v>
      </c>
      <c r="F105" s="14" t="s">
        <v>34</v>
      </c>
      <c r="H105" s="1">
        <f t="shared" si="78"/>
        <v>3.912967879776315</v>
      </c>
    </row>
    <row r="106" spans="2:8" ht="14.25" x14ac:dyDescent="0.2">
      <c r="B106" s="285">
        <f>'option 3.2 modernised pack targ'!B115</f>
        <v>391</v>
      </c>
      <c r="C106" s="14" t="s">
        <v>31</v>
      </c>
      <c r="D106" s="14" t="s">
        <v>77</v>
      </c>
      <c r="E106" s="14" t="s">
        <v>32</v>
      </c>
      <c r="F106" s="14" t="s">
        <v>34</v>
      </c>
      <c r="H106" s="1">
        <f t="shared" si="78"/>
        <v>2.0467154243741255</v>
      </c>
    </row>
    <row r="107" spans="2:8" ht="14.25" x14ac:dyDescent="0.2">
      <c r="B107" s="285">
        <f>'option 3.2 modernised pack targ'!B116</f>
        <v>17423.254666178702</v>
      </c>
      <c r="C107" s="14" t="s">
        <v>31</v>
      </c>
      <c r="D107" s="14" t="s">
        <v>78</v>
      </c>
      <c r="E107" s="14" t="s">
        <v>32</v>
      </c>
      <c r="F107" s="14" t="s">
        <v>34</v>
      </c>
      <c r="H107" s="1">
        <f t="shared" si="78"/>
        <v>91.203181759760611</v>
      </c>
    </row>
    <row r="108" spans="2:8" ht="14.25" x14ac:dyDescent="0.2">
      <c r="B108" s="285">
        <f>'option 3.2 modernised pack targ'!B117</f>
        <v>312</v>
      </c>
      <c r="C108" s="14" t="s">
        <v>31</v>
      </c>
      <c r="D108" s="14" t="s">
        <v>79</v>
      </c>
      <c r="E108" s="14" t="s">
        <v>32</v>
      </c>
      <c r="F108" s="14" t="s">
        <v>34</v>
      </c>
      <c r="H108" s="1">
        <f t="shared" si="78"/>
        <v>1.6331846864571027</v>
      </c>
    </row>
    <row r="109" spans="2:8" ht="14.25" x14ac:dyDescent="0.2">
      <c r="B109" s="285">
        <f>'option 3.2 modernised pack targ'!B118</f>
        <v>59</v>
      </c>
      <c r="C109" s="14" t="s">
        <v>31</v>
      </c>
      <c r="D109" s="14" t="s">
        <v>80</v>
      </c>
      <c r="E109" s="14" t="s">
        <v>32</v>
      </c>
      <c r="F109" s="14" t="s">
        <v>34</v>
      </c>
      <c r="H109" s="1">
        <f t="shared" si="78"/>
        <v>0.3088394118620803</v>
      </c>
    </row>
    <row r="110" spans="2:8" ht="14.25" x14ac:dyDescent="0.2">
      <c r="B110" s="278">
        <f>SUM(B104:B109)</f>
        <v>19103.77941865395</v>
      </c>
      <c r="C110" s="14"/>
      <c r="D110" s="14"/>
      <c r="E110" s="14"/>
      <c r="F110" s="14"/>
      <c r="H110" s="16">
        <f>SUM(H104:H109)</f>
        <v>99.999999999999986</v>
      </c>
    </row>
    <row r="111" spans="2:8" ht="14.25" x14ac:dyDescent="0.2">
      <c r="B111" s="285">
        <f>'option 3.2 modernised pack targ'!B120</f>
        <v>2</v>
      </c>
      <c r="C111" s="14" t="s">
        <v>35</v>
      </c>
      <c r="D111" s="14" t="s">
        <v>74</v>
      </c>
      <c r="E111" s="14" t="s">
        <v>32</v>
      </c>
      <c r="F111" s="14" t="s">
        <v>75</v>
      </c>
      <c r="H111" s="1">
        <f>B111/$B$116*100</f>
        <v>0.16670686028883624</v>
      </c>
    </row>
    <row r="112" spans="2:8" ht="14.25" x14ac:dyDescent="0.2">
      <c r="B112" s="285">
        <f>'option 3.2 modernised pack targ'!B121</f>
        <v>7.0066476733143404</v>
      </c>
      <c r="C112" s="14" t="s">
        <v>35</v>
      </c>
      <c r="D112" s="14" t="s">
        <v>76</v>
      </c>
      <c r="E112" s="14" t="s">
        <v>32</v>
      </c>
      <c r="F112" s="14" t="s">
        <v>75</v>
      </c>
      <c r="H112" s="1">
        <f>B112/$B$116*100</f>
        <v>0.5840281173841565</v>
      </c>
    </row>
    <row r="113" spans="2:8" ht="14.25" x14ac:dyDescent="0.2">
      <c r="B113" s="285">
        <f>'option 3.2 modernised pack targ'!B122</f>
        <v>237</v>
      </c>
      <c r="C113" s="14" t="s">
        <v>35</v>
      </c>
      <c r="D113" s="14" t="s">
        <v>77</v>
      </c>
      <c r="E113" s="14" t="s">
        <v>32</v>
      </c>
      <c r="F113" s="14" t="s">
        <v>75</v>
      </c>
      <c r="H113" s="1">
        <f>B113/$B$116*100</f>
        <v>19.754762944227092</v>
      </c>
    </row>
    <row r="114" spans="2:8" ht="14.25" x14ac:dyDescent="0.2">
      <c r="B114" s="285">
        <f>'option 3.2 modernised pack targ'!B123</f>
        <v>463.70402802101574</v>
      </c>
      <c r="C114" s="14" t="s">
        <v>35</v>
      </c>
      <c r="D114" s="14" t="s">
        <v>78</v>
      </c>
      <c r="E114" s="14" t="s">
        <v>32</v>
      </c>
      <c r="F114" s="14" t="s">
        <v>75</v>
      </c>
      <c r="H114" s="1">
        <f>B114/$B$116*100</f>
        <v>38.651321307335031</v>
      </c>
    </row>
    <row r="115" spans="2:8" ht="14.25" x14ac:dyDescent="0.2">
      <c r="B115" s="285">
        <f>'option 3.2 modernised pack targ'!B124</f>
        <v>490</v>
      </c>
      <c r="C115" s="14" t="s">
        <v>35</v>
      </c>
      <c r="D115" s="14" t="s">
        <v>79</v>
      </c>
      <c r="E115" s="14" t="s">
        <v>32</v>
      </c>
      <c r="F115" s="14" t="s">
        <v>75</v>
      </c>
      <c r="H115" s="1">
        <f>B115/$B$116*100</f>
        <v>40.843180770764874</v>
      </c>
    </row>
    <row r="116" spans="2:8" ht="14.25" x14ac:dyDescent="0.2">
      <c r="B116" s="278">
        <f>SUM(B111:B115)</f>
        <v>1199.7106756943301</v>
      </c>
      <c r="C116" s="14"/>
      <c r="D116" s="14"/>
      <c r="E116" s="14"/>
      <c r="F116" s="14"/>
      <c r="H116" s="16">
        <f>SUM(H111:H115)</f>
        <v>100</v>
      </c>
    </row>
    <row r="117" spans="2:8" ht="14.25" x14ac:dyDescent="0.2">
      <c r="B117" s="285">
        <f>'option 3.2 modernised pack targ'!B126</f>
        <v>3</v>
      </c>
      <c r="C117" s="14" t="s">
        <v>36</v>
      </c>
      <c r="D117" s="14" t="s">
        <v>76</v>
      </c>
      <c r="E117" s="14" t="s">
        <v>32</v>
      </c>
      <c r="F117" s="14" t="s">
        <v>75</v>
      </c>
      <c r="H117" s="1">
        <f>B117/$B$119*100</f>
        <v>20</v>
      </c>
    </row>
    <row r="118" spans="2:8" ht="14.25" x14ac:dyDescent="0.2">
      <c r="B118" s="285">
        <f>'option 3.2 modernised pack targ'!B127</f>
        <v>12</v>
      </c>
      <c r="C118" s="14" t="s">
        <v>36</v>
      </c>
      <c r="D118" s="14" t="s">
        <v>77</v>
      </c>
      <c r="E118" s="14" t="s">
        <v>32</v>
      </c>
      <c r="F118" s="14" t="s">
        <v>75</v>
      </c>
      <c r="H118" s="1">
        <f>B118/$B$119*100</f>
        <v>80</v>
      </c>
    </row>
    <row r="119" spans="2:8" ht="14.25" x14ac:dyDescent="0.2">
      <c r="B119" s="278">
        <f>SUM(B117:B118)</f>
        <v>15</v>
      </c>
      <c r="C119" s="14"/>
      <c r="D119" s="14"/>
      <c r="E119" s="14"/>
      <c r="F119" s="14"/>
      <c r="H119" s="16">
        <f>SUM(H117:H118)</f>
        <v>100</v>
      </c>
    </row>
    <row r="120" spans="2:8" ht="14.25" x14ac:dyDescent="0.2">
      <c r="B120" s="285">
        <f>'option 3.2 modernised pack targ'!B129</f>
        <v>38</v>
      </c>
      <c r="C120" s="14" t="s">
        <v>37</v>
      </c>
      <c r="D120" s="14" t="s">
        <v>77</v>
      </c>
      <c r="E120" s="14" t="s">
        <v>32</v>
      </c>
      <c r="F120" s="14" t="s">
        <v>75</v>
      </c>
      <c r="H120" s="1">
        <f>B120/$B$123*100</f>
        <v>15.698433315365806</v>
      </c>
    </row>
    <row r="121" spans="2:8" ht="14.25" x14ac:dyDescent="0.2">
      <c r="B121" s="285">
        <f>'option 3.2 modernised pack targ'!B130</f>
        <v>184.06237168141593</v>
      </c>
      <c r="C121" s="14" t="s">
        <v>37</v>
      </c>
      <c r="D121" s="14" t="s">
        <v>78</v>
      </c>
      <c r="E121" s="14" t="s">
        <v>32</v>
      </c>
      <c r="F121" s="14" t="s">
        <v>75</v>
      </c>
      <c r="H121" s="1">
        <f>B121/$B$123*100</f>
        <v>76.03923336075745</v>
      </c>
    </row>
    <row r="122" spans="2:8" ht="14.25" x14ac:dyDescent="0.2">
      <c r="B122" s="285">
        <f>'option 3.2 modernised pack targ'!B131</f>
        <v>20</v>
      </c>
      <c r="C122" s="14" t="s">
        <v>37</v>
      </c>
      <c r="D122" s="14" t="s">
        <v>79</v>
      </c>
      <c r="E122" s="14" t="s">
        <v>32</v>
      </c>
      <c r="F122" s="14" t="s">
        <v>75</v>
      </c>
      <c r="H122" s="1">
        <f>B122/$B$123*100</f>
        <v>8.2623333238767405</v>
      </c>
    </row>
    <row r="123" spans="2:8" ht="14.25" x14ac:dyDescent="0.2">
      <c r="B123" s="278">
        <f>SUM(B120:B122)</f>
        <v>242.06237168141593</v>
      </c>
      <c r="C123" s="14"/>
      <c r="D123" s="14"/>
      <c r="E123" s="14"/>
      <c r="F123" s="14"/>
      <c r="H123" s="16">
        <f>SUM(H120:H122)</f>
        <v>100</v>
      </c>
    </row>
    <row r="124" spans="2:8" ht="14.25" x14ac:dyDescent="0.2">
      <c r="B124" s="285">
        <f>'option 3.2 modernised pack targ'!B133</f>
        <v>33</v>
      </c>
      <c r="C124" s="14" t="s">
        <v>31</v>
      </c>
      <c r="D124" s="14" t="s">
        <v>74</v>
      </c>
      <c r="E124" s="14" t="s">
        <v>32</v>
      </c>
      <c r="F124" s="14" t="s">
        <v>75</v>
      </c>
      <c r="H124" s="1">
        <f>B124/$B$129*100</f>
        <v>1.3032040037546095</v>
      </c>
    </row>
    <row r="125" spans="2:8" ht="14.25" x14ac:dyDescent="0.2">
      <c r="B125" s="285">
        <f>'option 3.2 modernised pack targ'!B134</f>
        <v>7.4752475247524757</v>
      </c>
      <c r="C125" s="14" t="s">
        <v>31</v>
      </c>
      <c r="D125" s="14" t="s">
        <v>76</v>
      </c>
      <c r="E125" s="14" t="s">
        <v>32</v>
      </c>
      <c r="F125" s="14" t="s">
        <v>75</v>
      </c>
      <c r="H125" s="1">
        <f>B125/$B$129*100</f>
        <v>0.29520522737315635</v>
      </c>
    </row>
    <row r="126" spans="2:8" ht="14.25" x14ac:dyDescent="0.2">
      <c r="B126" s="285">
        <f>'option 3.2 modernised pack targ'!B135</f>
        <v>61</v>
      </c>
      <c r="C126" s="14" t="s">
        <v>31</v>
      </c>
      <c r="D126" s="14" t="s">
        <v>77</v>
      </c>
      <c r="E126" s="14" t="s">
        <v>32</v>
      </c>
      <c r="F126" s="14" t="s">
        <v>75</v>
      </c>
      <c r="H126" s="1">
        <f>B126/$B$129*100</f>
        <v>2.4089528554251873</v>
      </c>
    </row>
    <row r="127" spans="2:8" ht="14.25" x14ac:dyDescent="0.2">
      <c r="B127" s="285">
        <f>'option 3.2 modernised pack targ'!B136</f>
        <v>2244.7453338212999</v>
      </c>
      <c r="C127" s="14" t="s">
        <v>31</v>
      </c>
      <c r="D127" s="14" t="s">
        <v>78</v>
      </c>
      <c r="E127" s="14" t="s">
        <v>32</v>
      </c>
      <c r="F127" s="14" t="s">
        <v>75</v>
      </c>
      <c r="H127" s="1">
        <f>B127/$B$129*100</f>
        <v>88.647306255921066</v>
      </c>
    </row>
    <row r="128" spans="2:8" ht="14.25" x14ac:dyDescent="0.2">
      <c r="B128" s="285">
        <f>'option 3.2 modernised pack targ'!B137</f>
        <v>186</v>
      </c>
      <c r="C128" s="14" t="s">
        <v>31</v>
      </c>
      <c r="D128" s="14" t="s">
        <v>79</v>
      </c>
      <c r="E128" s="14" t="s">
        <v>32</v>
      </c>
      <c r="F128" s="14" t="s">
        <v>75</v>
      </c>
      <c r="H128" s="1">
        <f>B128/$B$129*100</f>
        <v>7.3453316575259802</v>
      </c>
    </row>
    <row r="129" spans="2:14" ht="14.25" x14ac:dyDescent="0.2">
      <c r="B129" s="278">
        <f>SUM(B124:B128)</f>
        <v>2532.2205813460523</v>
      </c>
      <c r="C129" s="14"/>
      <c r="D129" s="14"/>
      <c r="E129" s="14"/>
      <c r="F129" s="14"/>
      <c r="H129" s="16">
        <f>SUM(H124:H128)</f>
        <v>100</v>
      </c>
    </row>
    <row r="130" spans="2:14" ht="14.25" x14ac:dyDescent="0.2">
      <c r="B130" s="13"/>
      <c r="C130" s="14"/>
      <c r="D130" s="14"/>
      <c r="E130" s="14"/>
      <c r="F130" s="14"/>
    </row>
    <row r="131" spans="2:14" ht="14.25" x14ac:dyDescent="0.2">
      <c r="B131" s="13" t="s">
        <v>34</v>
      </c>
      <c r="C131" s="14" t="s">
        <v>81</v>
      </c>
      <c r="D131" s="14" t="s">
        <v>62</v>
      </c>
      <c r="E131" s="14"/>
      <c r="F131" s="14"/>
      <c r="H131" s="149">
        <f>'option 3.2 modernised pack targ'!H140</f>
        <v>83.057979393622716</v>
      </c>
      <c r="I131" t="s">
        <v>2</v>
      </c>
    </row>
    <row r="132" spans="2:14" ht="14.25" x14ac:dyDescent="0.2">
      <c r="B132" s="15"/>
      <c r="C132" s="14"/>
      <c r="D132" s="14" t="s">
        <v>63</v>
      </c>
      <c r="E132" s="14"/>
      <c r="F132" s="14"/>
      <c r="H132" s="150">
        <f>'option 3.2 modernised pack targ'!H141</f>
        <v>4.2372390540296649</v>
      </c>
      <c r="I132" t="s">
        <v>2</v>
      </c>
      <c r="L132" t="s">
        <v>112</v>
      </c>
    </row>
    <row r="133" spans="2:14" ht="14.25" x14ac:dyDescent="0.2">
      <c r="B133" s="13"/>
      <c r="C133" s="14"/>
      <c r="D133" s="36" t="s">
        <v>76</v>
      </c>
      <c r="E133" s="36"/>
      <c r="F133" s="36"/>
      <c r="G133" s="37"/>
      <c r="H133" s="207">
        <f>'option 3.2 modernised pack targ'!H142</f>
        <v>4.1280488678999632</v>
      </c>
      <c r="I133" s="37" t="s">
        <v>2</v>
      </c>
      <c r="L133" t="s">
        <v>113</v>
      </c>
      <c r="M133" s="34">
        <f>M37</f>
        <v>84.589204090433412</v>
      </c>
      <c r="N133" t="s">
        <v>2</v>
      </c>
    </row>
    <row r="134" spans="2:14" ht="14.25" x14ac:dyDescent="0.2">
      <c r="B134" s="13"/>
      <c r="C134" s="14"/>
      <c r="D134" s="14" t="s">
        <v>113</v>
      </c>
      <c r="E134" s="14"/>
      <c r="F134" s="14"/>
      <c r="H134" s="150">
        <f>'option 3.2 modernised pack targ'!H143</f>
        <v>3.4918836818207257</v>
      </c>
      <c r="I134" t="s">
        <v>2</v>
      </c>
      <c r="L134" t="s">
        <v>114</v>
      </c>
      <c r="M134" s="34">
        <f>M38</f>
        <v>15.410795909566593</v>
      </c>
      <c r="N134" t="s">
        <v>2</v>
      </c>
    </row>
    <row r="135" spans="2:14" ht="14.25" x14ac:dyDescent="0.2">
      <c r="B135" s="13"/>
      <c r="C135" s="14"/>
      <c r="D135" s="14" t="s">
        <v>114</v>
      </c>
      <c r="E135" s="14"/>
      <c r="F135" s="14"/>
      <c r="H135" s="150">
        <f>'option 3.2 modernised pack targ'!H144</f>
        <v>0.63616518607923755</v>
      </c>
      <c r="I135" t="s">
        <v>2</v>
      </c>
    </row>
    <row r="136" spans="2:14" ht="14.25" x14ac:dyDescent="0.2">
      <c r="B136" s="13"/>
      <c r="C136" s="14"/>
      <c r="D136" s="14" t="s">
        <v>65</v>
      </c>
      <c r="E136" s="14"/>
      <c r="F136" s="14"/>
      <c r="H136" s="150">
        <f>'option 3.2 modernised pack targ'!H145</f>
        <v>7.4750323704561428</v>
      </c>
      <c r="I136" t="s">
        <v>2</v>
      </c>
    </row>
    <row r="137" spans="2:14" ht="14.25" x14ac:dyDescent="0.2">
      <c r="B137" s="13"/>
      <c r="C137" s="14"/>
      <c r="D137" s="14" t="s">
        <v>106</v>
      </c>
      <c r="E137" s="14"/>
      <c r="F137" s="14"/>
      <c r="H137" s="150">
        <f>'option 3.2 modernised pack targ'!H146</f>
        <v>0.7320328104678786</v>
      </c>
      <c r="I137" t="s">
        <v>2</v>
      </c>
    </row>
    <row r="138" spans="2:14" ht="14.25" x14ac:dyDescent="0.2">
      <c r="B138" s="15"/>
      <c r="C138" s="14"/>
      <c r="D138" s="14" t="s">
        <v>82</v>
      </c>
      <c r="E138" s="14"/>
      <c r="F138" s="14"/>
      <c r="H138" s="151">
        <f>'option 3.2 modernised pack targ'!H147</f>
        <v>0.36966750352363531</v>
      </c>
      <c r="I138" t="s">
        <v>2</v>
      </c>
    </row>
    <row r="139" spans="2:14" ht="14.25" x14ac:dyDescent="0.2">
      <c r="B139" s="13"/>
      <c r="C139" s="14"/>
      <c r="D139" s="14"/>
      <c r="E139" s="14"/>
      <c r="F139" s="14"/>
      <c r="H139" s="1">
        <f>SUM(H131:H138)-H133</f>
        <v>100.00000000000001</v>
      </c>
      <c r="I139" t="s">
        <v>2</v>
      </c>
    </row>
    <row r="140" spans="2:14" ht="14.25" x14ac:dyDescent="0.2">
      <c r="B140" s="13"/>
      <c r="C140" s="14"/>
      <c r="D140" s="14"/>
      <c r="E140" s="14"/>
      <c r="F140" s="14"/>
    </row>
    <row r="141" spans="2:14" ht="14.25" x14ac:dyDescent="0.2">
      <c r="B141" s="13" t="s">
        <v>7</v>
      </c>
      <c r="C141" s="14" t="s">
        <v>81</v>
      </c>
      <c r="D141" s="14" t="s">
        <v>62</v>
      </c>
      <c r="E141" s="14"/>
      <c r="F141" s="14"/>
      <c r="H141" s="149">
        <f>'option 3.2 modernised pack targ'!H150</f>
        <v>76.266452509653249</v>
      </c>
      <c r="I141" t="s">
        <v>2</v>
      </c>
    </row>
    <row r="142" spans="2:14" ht="14.25" x14ac:dyDescent="0.2">
      <c r="B142" s="15"/>
      <c r="C142" s="14"/>
      <c r="D142" s="14" t="s">
        <v>63</v>
      </c>
      <c r="E142" s="14"/>
      <c r="F142" s="14"/>
      <c r="H142" s="150">
        <f>'option 3.2 modernised pack targ'!H151</f>
        <v>0</v>
      </c>
      <c r="I142" t="s">
        <v>2</v>
      </c>
    </row>
    <row r="143" spans="2:14" ht="14.25" x14ac:dyDescent="0.2">
      <c r="B143" s="13"/>
      <c r="C143" s="14"/>
      <c r="D143" s="36" t="s">
        <v>76</v>
      </c>
      <c r="E143" s="36"/>
      <c r="F143" s="36"/>
      <c r="G143" s="37"/>
      <c r="H143" s="207">
        <f>'option 3.2 modernised pack targ'!H152</f>
        <v>0.68158711500309332</v>
      </c>
      <c r="I143" s="37" t="s">
        <v>2</v>
      </c>
    </row>
    <row r="144" spans="2:14" ht="14.25" x14ac:dyDescent="0.2">
      <c r="B144" s="13"/>
      <c r="C144" s="14"/>
      <c r="D144" s="14" t="s">
        <v>113</v>
      </c>
      <c r="E144" s="14"/>
      <c r="F144" s="14"/>
      <c r="H144" s="150">
        <f>'option 3.2 modernised pack targ'!H153</f>
        <v>0.57654911576406365</v>
      </c>
      <c r="I144" t="s">
        <v>2</v>
      </c>
    </row>
    <row r="145" spans="2:9" ht="14.25" x14ac:dyDescent="0.2">
      <c r="B145" s="13"/>
      <c r="C145" s="14"/>
      <c r="D145" s="14" t="s">
        <v>114</v>
      </c>
      <c r="E145" s="14"/>
      <c r="F145" s="14"/>
      <c r="H145" s="150">
        <f>'option 3.2 modernised pack targ'!H154</f>
        <v>0.10503799923902965</v>
      </c>
      <c r="I145" t="s">
        <v>2</v>
      </c>
    </row>
    <row r="146" spans="2:9" ht="14.25" x14ac:dyDescent="0.2">
      <c r="B146" s="13"/>
      <c r="C146" s="14"/>
      <c r="D146" s="14" t="s">
        <v>65</v>
      </c>
      <c r="E146" s="14"/>
      <c r="F146" s="14"/>
      <c r="H146" s="150">
        <f>'option 3.2 modernised pack targ'!H155</f>
        <v>8.5929065463644907</v>
      </c>
      <c r="I146" t="s">
        <v>2</v>
      </c>
    </row>
    <row r="147" spans="2:9" ht="14.25" x14ac:dyDescent="0.2">
      <c r="B147" s="13"/>
      <c r="C147" s="14"/>
      <c r="D147" s="14" t="s">
        <v>106</v>
      </c>
      <c r="E147" s="21"/>
      <c r="F147" s="21"/>
      <c r="H147" s="150">
        <f>'option 3.2 modernised pack targ'!H156</f>
        <v>13.652331592648871</v>
      </c>
      <c r="I147" t="s">
        <v>2</v>
      </c>
    </row>
    <row r="148" spans="2:9" ht="14.25" x14ac:dyDescent="0.2">
      <c r="B148" s="15"/>
      <c r="C148" s="14"/>
      <c r="D148" s="14" t="s">
        <v>82</v>
      </c>
      <c r="H148" s="151">
        <f>'option 3.2 modernised pack targ'!H157</f>
        <v>0.80672223633030016</v>
      </c>
      <c r="I148" t="s">
        <v>2</v>
      </c>
    </row>
    <row r="149" spans="2:9" x14ac:dyDescent="0.2">
      <c r="H149" s="1">
        <f>'option 3.2 modernised pack targ'!H158</f>
        <v>100.00000000000001</v>
      </c>
      <c r="I149" t="s">
        <v>2</v>
      </c>
    </row>
    <row r="152" spans="2:9" x14ac:dyDescent="0.2">
      <c r="B152" s="84" t="s">
        <v>85</v>
      </c>
    </row>
    <row r="153" spans="2:9" x14ac:dyDescent="0.2">
      <c r="C153" s="53"/>
    </row>
    <row r="154" spans="2:9" ht="13.5" thickBot="1" x14ac:dyDescent="0.25">
      <c r="D154">
        <v>2012</v>
      </c>
      <c r="E154">
        <v>2020</v>
      </c>
    </row>
    <row r="155" spans="2:9" ht="13.5" thickTop="1" x14ac:dyDescent="0.2">
      <c r="B155" t="s">
        <v>86</v>
      </c>
      <c r="D155" s="2">
        <f>'option 2 single calculation met'!D149</f>
        <v>34.3115250426887</v>
      </c>
      <c r="E155" s="156">
        <v>61.084581859031971</v>
      </c>
    </row>
    <row r="156" spans="2:9" x14ac:dyDescent="0.2">
      <c r="B156" t="s">
        <v>87</v>
      </c>
      <c r="D156" s="2">
        <f>'option 2 single calculation met'!D150</f>
        <v>71.162589235423198</v>
      </c>
      <c r="E156" s="157">
        <v>95.803701345193829</v>
      </c>
    </row>
    <row r="157" spans="2:9" x14ac:dyDescent="0.2">
      <c r="B157" s="37" t="s">
        <v>88</v>
      </c>
      <c r="C157" s="37"/>
      <c r="D157" s="208">
        <f>'option 2 single calculation met'!D151</f>
        <v>72.277569276209135</v>
      </c>
      <c r="E157" s="246">
        <v>93.818603065948636</v>
      </c>
    </row>
    <row r="158" spans="2:9" x14ac:dyDescent="0.2">
      <c r="B158" t="s">
        <v>110</v>
      </c>
      <c r="D158" s="2">
        <f>'option 3.2 modernised pack targ'!D165</f>
        <v>56.535148150433997</v>
      </c>
      <c r="E158" s="157">
        <v>78.888804093375271</v>
      </c>
    </row>
    <row r="159" spans="2:9" x14ac:dyDescent="0.2">
      <c r="B159" t="s">
        <v>111</v>
      </c>
      <c r="D159" s="2">
        <f>'option 3.2 modernised pack targ'!D166</f>
        <v>74.911593431091845</v>
      </c>
      <c r="E159" s="157">
        <v>91.457878218315798</v>
      </c>
    </row>
    <row r="160" spans="2:9" x14ac:dyDescent="0.2">
      <c r="B160" t="s">
        <v>89</v>
      </c>
      <c r="D160" s="2">
        <f>'option 2 single calculation met'!D152</f>
        <v>82.956538079896461</v>
      </c>
      <c r="E160" s="157">
        <v>96.316042954113598</v>
      </c>
    </row>
    <row r="161" spans="2:47" ht="13.5" thickBot="1" x14ac:dyDescent="0.25">
      <c r="B161" t="s">
        <v>104</v>
      </c>
      <c r="D161" s="2">
        <f>'option 2 single calculation met'!D153</f>
        <v>37.687432530831366</v>
      </c>
      <c r="E161" s="158">
        <v>78.922901121353291</v>
      </c>
    </row>
    <row r="162" spans="2:47" ht="13.5" thickTop="1" x14ac:dyDescent="0.2"/>
    <row r="163" spans="2:47" x14ac:dyDescent="0.2">
      <c r="B163" t="s">
        <v>23</v>
      </c>
    </row>
    <row r="164" spans="2:47" x14ac:dyDescent="0.2">
      <c r="F164" t="s">
        <v>24</v>
      </c>
      <c r="G164" t="s">
        <v>197</v>
      </c>
      <c r="H164" t="s">
        <v>90</v>
      </c>
      <c r="I164" s="1"/>
    </row>
    <row r="165" spans="2:47" x14ac:dyDescent="0.2">
      <c r="B165" t="s">
        <v>86</v>
      </c>
      <c r="D165" s="2">
        <f>100-D155</f>
        <v>65.6884749573113</v>
      </c>
      <c r="E165" s="2">
        <f>100-E155</f>
        <v>38.915418140968029</v>
      </c>
      <c r="F165" s="2">
        <f>D165-E165</f>
        <v>26.773056816343271</v>
      </c>
      <c r="G165" s="2">
        <f>F165/D165*100</f>
        <v>40.757616665240235</v>
      </c>
      <c r="H165" s="172">
        <f>IF(G165&gt;0,G165,0)</f>
        <v>40.757616665240235</v>
      </c>
      <c r="I165" s="1" t="s">
        <v>2</v>
      </c>
    </row>
    <row r="166" spans="2:47" x14ac:dyDescent="0.2">
      <c r="B166" t="s">
        <v>87</v>
      </c>
      <c r="D166" s="2">
        <f t="shared" ref="D166:E166" si="79">100-D156</f>
        <v>28.837410764576802</v>
      </c>
      <c r="E166" s="2">
        <f t="shared" si="79"/>
        <v>4.1962986548061707</v>
      </c>
      <c r="F166" s="2">
        <f t="shared" ref="F166:F170" si="80">D166-E166</f>
        <v>24.641112109770631</v>
      </c>
      <c r="G166" s="2">
        <f t="shared" ref="G166:G170" si="81">F166/D166*100</f>
        <v>85.448420841024998</v>
      </c>
      <c r="H166" s="173">
        <f t="shared" ref="H166:H170" si="82">IF(G166&gt;0,G166,0)</f>
        <v>85.448420841024998</v>
      </c>
      <c r="I166" s="1" t="s">
        <v>2</v>
      </c>
    </row>
    <row r="167" spans="2:47" x14ac:dyDescent="0.2">
      <c r="B167" t="s">
        <v>110</v>
      </c>
      <c r="D167" s="2">
        <f>100-D158</f>
        <v>43.464851849566003</v>
      </c>
      <c r="E167" s="2">
        <f>100-E158</f>
        <v>21.111195906624729</v>
      </c>
      <c r="F167" s="2">
        <f t="shared" si="80"/>
        <v>22.353655942941273</v>
      </c>
      <c r="G167" s="2">
        <f t="shared" si="81"/>
        <v>51.429269839244775</v>
      </c>
      <c r="H167" s="173">
        <f t="shared" si="82"/>
        <v>51.429269839244775</v>
      </c>
      <c r="I167" s="1" t="s">
        <v>2</v>
      </c>
    </row>
    <row r="168" spans="2:47" x14ac:dyDescent="0.2">
      <c r="B168" t="s">
        <v>111</v>
      </c>
      <c r="D168" s="2">
        <f t="shared" ref="D168:E170" si="83">100-D159</f>
        <v>25.088406568908155</v>
      </c>
      <c r="E168" s="2">
        <f t="shared" si="83"/>
        <v>8.5421217816842017</v>
      </c>
      <c r="F168" s="2">
        <f t="shared" si="80"/>
        <v>16.546284787223954</v>
      </c>
      <c r="G168" s="2">
        <f t="shared" si="81"/>
        <v>65.951915845184132</v>
      </c>
      <c r="H168" s="173">
        <f t="shared" si="82"/>
        <v>65.951915845184132</v>
      </c>
      <c r="I168" s="1" t="s">
        <v>2</v>
      </c>
    </row>
    <row r="169" spans="2:47" x14ac:dyDescent="0.2">
      <c r="B169" t="s">
        <v>89</v>
      </c>
      <c r="D169" s="2">
        <f t="shared" si="83"/>
        <v>17.043461920103539</v>
      </c>
      <c r="E169" s="2">
        <f t="shared" si="83"/>
        <v>3.6839570458864017</v>
      </c>
      <c r="F169" s="2">
        <f t="shared" si="80"/>
        <v>13.359504874217137</v>
      </c>
      <c r="G169" s="2">
        <f t="shared" si="81"/>
        <v>78.384925180364874</v>
      </c>
      <c r="H169" s="173">
        <f t="shared" si="82"/>
        <v>78.384925180364874</v>
      </c>
      <c r="I169" s="1" t="s">
        <v>2</v>
      </c>
    </row>
    <row r="170" spans="2:47" x14ac:dyDescent="0.2">
      <c r="B170" t="s">
        <v>104</v>
      </c>
      <c r="D170" s="2">
        <f t="shared" si="83"/>
        <v>62.312567469168634</v>
      </c>
      <c r="E170" s="2">
        <f t="shared" si="83"/>
        <v>21.077098878646709</v>
      </c>
      <c r="F170" s="2">
        <f t="shared" si="80"/>
        <v>41.235468590521926</v>
      </c>
      <c r="G170" s="2">
        <f t="shared" si="81"/>
        <v>66.175203920019257</v>
      </c>
      <c r="H170" s="174">
        <f t="shared" si="82"/>
        <v>66.175203920019257</v>
      </c>
      <c r="I170" s="1" t="s">
        <v>2</v>
      </c>
    </row>
    <row r="173" spans="2:47" x14ac:dyDescent="0.2">
      <c r="B173" s="84" t="s">
        <v>92</v>
      </c>
      <c r="C173" s="53"/>
    </row>
    <row r="174" spans="2:47" x14ac:dyDescent="0.2">
      <c r="B174" t="str">
        <f>'option 3.2 modernised pack targ'!B182</f>
        <v>as in option 1</v>
      </c>
    </row>
    <row r="175" spans="2:47" ht="14.25" x14ac:dyDescent="0.2">
      <c r="B175" s="12" t="s">
        <v>93</v>
      </c>
      <c r="C175" s="12" t="s">
        <v>69</v>
      </c>
      <c r="D175" s="12" t="s">
        <v>70</v>
      </c>
      <c r="E175" s="12" t="s">
        <v>73</v>
      </c>
    </row>
    <row r="176" spans="2:47" ht="14.25" x14ac:dyDescent="0.2">
      <c r="B176" s="14" t="s">
        <v>63</v>
      </c>
      <c r="C176" s="13">
        <f>'option 3.2 modernised pack targ'!C184</f>
        <v>219</v>
      </c>
      <c r="D176" s="14" t="s">
        <v>35</v>
      </c>
      <c r="E176" s="14" t="s">
        <v>34</v>
      </c>
      <c r="G176" s="20" t="s">
        <v>62</v>
      </c>
      <c r="H176" s="1">
        <f>C180/C182*100</f>
        <v>43.469327854417379</v>
      </c>
      <c r="I176" s="21" t="s">
        <v>2</v>
      </c>
      <c r="AP176" s="4"/>
      <c r="AQ176" s="4"/>
      <c r="AR176" s="4"/>
      <c r="AS176" s="4"/>
      <c r="AT176" s="4"/>
      <c r="AU176" s="4"/>
    </row>
    <row r="177" spans="1:47" s="4" customFormat="1" ht="14.25" x14ac:dyDescent="0.2">
      <c r="A177"/>
      <c r="B177" s="14" t="s">
        <v>64</v>
      </c>
      <c r="C177" s="13">
        <f>'option 3.2 modernised pack targ'!C185</f>
        <v>1062</v>
      </c>
      <c r="D177" s="14" t="s">
        <v>35</v>
      </c>
      <c r="E177" s="14" t="s">
        <v>34</v>
      </c>
      <c r="F177"/>
      <c r="G177" s="20" t="s">
        <v>63</v>
      </c>
      <c r="H177" s="1">
        <f>C176/C182*100</f>
        <v>2.1426474904608162</v>
      </c>
      <c r="I177" s="21" t="s">
        <v>2</v>
      </c>
      <c r="J177"/>
      <c r="K177"/>
      <c r="L177"/>
      <c r="M177"/>
      <c r="N177"/>
      <c r="O177"/>
      <c r="P177"/>
      <c r="Q177"/>
      <c r="R177" s="1"/>
      <c r="S177"/>
      <c r="T177"/>
      <c r="U177"/>
      <c r="V177"/>
      <c r="W177"/>
      <c r="X177"/>
      <c r="Y177"/>
      <c r="AP177"/>
      <c r="AQ177"/>
      <c r="AR177"/>
      <c r="AS177"/>
      <c r="AT177"/>
      <c r="AU177"/>
    </row>
    <row r="178" spans="1:47" ht="14.25" x14ac:dyDescent="0.2">
      <c r="B178" s="14" t="s">
        <v>82</v>
      </c>
      <c r="C178" s="13">
        <f>'option 3.2 modernised pack targ'!C186</f>
        <v>1000</v>
      </c>
      <c r="D178" s="14" t="s">
        <v>35</v>
      </c>
      <c r="E178" s="14" t="s">
        <v>34</v>
      </c>
      <c r="G178" s="20" t="s">
        <v>76</v>
      </c>
      <c r="H178" s="1">
        <f>C177/C182*100</f>
        <v>10.390372761960668</v>
      </c>
      <c r="I178" s="21" t="s">
        <v>2</v>
      </c>
    </row>
    <row r="179" spans="1:47" ht="14.25" x14ac:dyDescent="0.2">
      <c r="B179" s="14" t="s">
        <v>65</v>
      </c>
      <c r="C179" s="13">
        <f>'option 3.2 modernised pack targ'!C187</f>
        <v>3268</v>
      </c>
      <c r="D179" s="14" t="s">
        <v>35</v>
      </c>
      <c r="E179" s="14" t="s">
        <v>34</v>
      </c>
      <c r="G179" s="21" t="s">
        <v>65</v>
      </c>
      <c r="H179" s="1">
        <f>C179/C182*100</f>
        <v>31.973388122492906</v>
      </c>
      <c r="I179" s="21" t="s">
        <v>2</v>
      </c>
    </row>
    <row r="180" spans="1:47" ht="14.25" x14ac:dyDescent="0.2">
      <c r="B180" s="14" t="s">
        <v>94</v>
      </c>
      <c r="C180" s="13">
        <f>'option 3.2 modernised pack targ'!C188</f>
        <v>4443</v>
      </c>
      <c r="D180" s="14" t="s">
        <v>35</v>
      </c>
      <c r="E180" s="14" t="s">
        <v>34</v>
      </c>
      <c r="G180" s="21" t="s">
        <v>106</v>
      </c>
      <c r="H180" s="1">
        <f>C181/C182*100</f>
        <v>2.2404852754133646</v>
      </c>
      <c r="I180" s="21" t="s">
        <v>2</v>
      </c>
    </row>
    <row r="181" spans="1:47" ht="14.25" x14ac:dyDescent="0.2">
      <c r="B181" s="14" t="s">
        <v>106</v>
      </c>
      <c r="C181" s="13">
        <f>'option 3.2 modernised pack targ'!C189</f>
        <v>229</v>
      </c>
      <c r="D181" s="14" t="s">
        <v>35</v>
      </c>
      <c r="E181" s="14" t="s">
        <v>34</v>
      </c>
      <c r="G181" s="21" t="s">
        <v>82</v>
      </c>
      <c r="H181" s="1">
        <f>C178/C182*100</f>
        <v>9.7837784952548681</v>
      </c>
      <c r="I181" s="21" t="s">
        <v>2</v>
      </c>
      <c r="Y181" s="4"/>
    </row>
    <row r="182" spans="1:47" ht="14.25" x14ac:dyDescent="0.2">
      <c r="A182" s="4"/>
      <c r="B182" s="22"/>
      <c r="C182" s="15">
        <f>SUM(C176:C181)</f>
        <v>10221</v>
      </c>
      <c r="D182" s="22"/>
      <c r="E182" s="22"/>
      <c r="F182" s="4"/>
      <c r="G182" s="4"/>
      <c r="H182" s="16">
        <f>SUM(H176:H181)</f>
        <v>100</v>
      </c>
      <c r="I182" s="4"/>
      <c r="J182" s="4"/>
      <c r="K182" s="4"/>
      <c r="L182" s="4"/>
      <c r="M182" s="4"/>
      <c r="N182" s="4"/>
      <c r="O182" s="4"/>
    </row>
    <row r="183" spans="1:47" ht="14.25" x14ac:dyDescent="0.2">
      <c r="B183" s="14" t="s">
        <v>63</v>
      </c>
      <c r="C183" s="13">
        <f>'option 3.2 modernised pack targ'!C191</f>
        <v>24</v>
      </c>
      <c r="D183" s="14" t="s">
        <v>36</v>
      </c>
      <c r="E183" s="14" t="s">
        <v>34</v>
      </c>
      <c r="G183" s="20" t="s">
        <v>62</v>
      </c>
      <c r="H183" s="1">
        <f>C187/C189*100</f>
        <v>40.438512869399432</v>
      </c>
      <c r="I183" s="21" t="s">
        <v>2</v>
      </c>
      <c r="AP183" s="4"/>
      <c r="AQ183" s="4"/>
      <c r="AR183" s="4"/>
      <c r="AS183" s="4"/>
      <c r="AT183" s="4"/>
      <c r="AU183" s="4"/>
    </row>
    <row r="184" spans="1:47" s="4" customFormat="1" ht="14.25" x14ac:dyDescent="0.2">
      <c r="A184"/>
      <c r="B184" s="14" t="s">
        <v>64</v>
      </c>
      <c r="C184" s="13">
        <f>'option 3.2 modernised pack targ'!C192</f>
        <v>474</v>
      </c>
      <c r="D184" s="14" t="s">
        <v>36</v>
      </c>
      <c r="E184" s="14" t="s">
        <v>34</v>
      </c>
      <c r="F184"/>
      <c r="G184" s="20" t="s">
        <v>63</v>
      </c>
      <c r="H184" s="1">
        <f>C183/C189*100</f>
        <v>0.45757864632983797</v>
      </c>
      <c r="I184" s="21" t="s">
        <v>2</v>
      </c>
      <c r="J184"/>
      <c r="K184"/>
      <c r="L184"/>
      <c r="M184"/>
      <c r="N184"/>
      <c r="O184"/>
      <c r="P184"/>
      <c r="Q184"/>
      <c r="R184" s="1"/>
      <c r="S184"/>
      <c r="T184"/>
      <c r="U184"/>
      <c r="V184"/>
      <c r="W184"/>
      <c r="X184"/>
      <c r="Y184"/>
      <c r="AP184"/>
      <c r="AQ184"/>
      <c r="AR184"/>
      <c r="AS184"/>
      <c r="AT184"/>
      <c r="AU184"/>
    </row>
    <row r="185" spans="1:47" ht="14.25" x14ac:dyDescent="0.2">
      <c r="B185" s="14" t="s">
        <v>82</v>
      </c>
      <c r="C185" s="13">
        <f>'option 3.2 modernised pack targ'!C193</f>
        <v>171</v>
      </c>
      <c r="D185" s="14" t="s">
        <v>36</v>
      </c>
      <c r="E185" s="14" t="s">
        <v>34</v>
      </c>
      <c r="G185" s="20" t="s">
        <v>76</v>
      </c>
      <c r="H185" s="1">
        <f>C184/C189*100</f>
        <v>9.0371782650142993</v>
      </c>
      <c r="I185" s="21" t="s">
        <v>2</v>
      </c>
    </row>
    <row r="186" spans="1:47" ht="14.25" x14ac:dyDescent="0.2">
      <c r="B186" s="14" t="s">
        <v>65</v>
      </c>
      <c r="C186" s="13">
        <f>'option 3.2 modernised pack targ'!C194</f>
        <v>2386</v>
      </c>
      <c r="D186" s="14" t="s">
        <v>36</v>
      </c>
      <c r="E186" s="14" t="s">
        <v>34</v>
      </c>
      <c r="G186" s="21" t="s">
        <v>65</v>
      </c>
      <c r="H186" s="1">
        <f>C186/C189*100</f>
        <v>45.490943755958057</v>
      </c>
      <c r="I186" s="21" t="s">
        <v>2</v>
      </c>
    </row>
    <row r="187" spans="1:47" ht="14.25" x14ac:dyDescent="0.2">
      <c r="B187" s="14" t="s">
        <v>94</v>
      </c>
      <c r="C187" s="13">
        <f>'option 3.2 modernised pack targ'!C195</f>
        <v>2121</v>
      </c>
      <c r="D187" s="14" t="s">
        <v>36</v>
      </c>
      <c r="E187" s="14" t="s">
        <v>34</v>
      </c>
      <c r="G187" s="21" t="s">
        <v>106</v>
      </c>
      <c r="H187" s="1">
        <f>C188/C189*100</f>
        <v>1.3155386081982841</v>
      </c>
      <c r="I187" s="21" t="s">
        <v>2</v>
      </c>
    </row>
    <row r="188" spans="1:47" ht="14.25" x14ac:dyDescent="0.2">
      <c r="B188" s="14" t="s">
        <v>106</v>
      </c>
      <c r="C188" s="13">
        <f>'option 3.2 modernised pack targ'!C196</f>
        <v>69</v>
      </c>
      <c r="D188" s="14" t="s">
        <v>36</v>
      </c>
      <c r="E188" s="14" t="s">
        <v>34</v>
      </c>
      <c r="G188" s="21" t="s">
        <v>82</v>
      </c>
      <c r="H188" s="1">
        <f>C185/C189*100</f>
        <v>3.2602478551000948</v>
      </c>
      <c r="I188" s="21" t="s">
        <v>2</v>
      </c>
      <c r="Y188" s="4"/>
    </row>
    <row r="189" spans="1:47" ht="14.25" x14ac:dyDescent="0.2">
      <c r="A189" s="4"/>
      <c r="B189" s="22"/>
      <c r="C189" s="15">
        <f>SUM(C183:C188)</f>
        <v>5245</v>
      </c>
      <c r="D189" s="22"/>
      <c r="E189" s="22"/>
      <c r="F189" s="4"/>
      <c r="G189" s="4"/>
      <c r="H189" s="16">
        <f>SUM(H183:H188)</f>
        <v>99.999999999999986</v>
      </c>
      <c r="I189" s="4"/>
      <c r="J189" s="4"/>
      <c r="K189" s="4"/>
      <c r="L189" s="4"/>
      <c r="M189" s="4"/>
      <c r="N189" s="4"/>
      <c r="O189" s="4"/>
    </row>
    <row r="190" spans="1:47" ht="14.25" x14ac:dyDescent="0.2">
      <c r="B190" s="14" t="s">
        <v>63</v>
      </c>
      <c r="C190" s="13">
        <f>'option 3.2 modernised pack targ'!C198</f>
        <v>923</v>
      </c>
      <c r="D190" s="14" t="s">
        <v>37</v>
      </c>
      <c r="E190" s="14" t="s">
        <v>34</v>
      </c>
      <c r="G190" s="20" t="s">
        <v>62</v>
      </c>
      <c r="H190" s="1">
        <f>C194/C196*100</f>
        <v>61.523569023569024</v>
      </c>
      <c r="I190" s="21" t="s">
        <v>2</v>
      </c>
      <c r="AP190" s="4"/>
      <c r="AQ190" s="4"/>
      <c r="AR190" s="4"/>
      <c r="AS190" s="4"/>
      <c r="AT190" s="4"/>
      <c r="AU190" s="4"/>
    </row>
    <row r="191" spans="1:47" s="4" customFormat="1" ht="14.25" x14ac:dyDescent="0.2">
      <c r="A191"/>
      <c r="B191" s="14" t="s">
        <v>64</v>
      </c>
      <c r="C191" s="13">
        <f>'option 3.2 modernised pack targ'!C199</f>
        <v>523</v>
      </c>
      <c r="D191" s="14" t="s">
        <v>37</v>
      </c>
      <c r="E191" s="14" t="s">
        <v>34</v>
      </c>
      <c r="F191"/>
      <c r="G191" s="20" t="s">
        <v>63</v>
      </c>
      <c r="H191" s="1">
        <f>C190/C196*100</f>
        <v>3.8846801346801345</v>
      </c>
      <c r="I191" s="21" t="s">
        <v>2</v>
      </c>
      <c r="J191"/>
      <c r="K191"/>
      <c r="L191"/>
      <c r="M191"/>
      <c r="N191"/>
      <c r="O191"/>
      <c r="P191"/>
      <c r="Q191"/>
      <c r="R191" s="1"/>
      <c r="S191"/>
      <c r="T191"/>
      <c r="U191"/>
      <c r="V191"/>
      <c r="Y191"/>
      <c r="AP191"/>
      <c r="AQ191"/>
      <c r="AR191"/>
      <c r="AS191"/>
      <c r="AT191"/>
      <c r="AU191"/>
    </row>
    <row r="192" spans="1:47" ht="14.25" x14ac:dyDescent="0.2">
      <c r="B192" s="14" t="s">
        <v>82</v>
      </c>
      <c r="C192" s="13">
        <f>'option 3.2 modernised pack targ'!C200</f>
        <v>2092</v>
      </c>
      <c r="D192" s="14" t="s">
        <v>37</v>
      </c>
      <c r="E192" s="14" t="s">
        <v>34</v>
      </c>
      <c r="G192" s="20" t="s">
        <v>76</v>
      </c>
      <c r="H192" s="1">
        <f>C191/C196*100</f>
        <v>2.2011784511784511</v>
      </c>
      <c r="I192" s="21" t="s">
        <v>2</v>
      </c>
      <c r="U192" s="4"/>
      <c r="V192" s="4"/>
    </row>
    <row r="193" spans="1:47" ht="14.25" x14ac:dyDescent="0.2">
      <c r="B193" s="14" t="s">
        <v>65</v>
      </c>
      <c r="C193" s="13">
        <f>'option 3.2 modernised pack targ'!C201</f>
        <v>5566</v>
      </c>
      <c r="D193" s="14" t="s">
        <v>37</v>
      </c>
      <c r="E193" s="14" t="s">
        <v>34</v>
      </c>
      <c r="G193" s="21" t="s">
        <v>65</v>
      </c>
      <c r="H193" s="1">
        <f>C193/C196*100</f>
        <v>23.425925925925924</v>
      </c>
      <c r="I193" s="21" t="s">
        <v>2</v>
      </c>
      <c r="S193" s="4"/>
      <c r="T193" s="4"/>
    </row>
    <row r="194" spans="1:47" ht="14.25" x14ac:dyDescent="0.2">
      <c r="B194" s="14" t="s">
        <v>94</v>
      </c>
      <c r="C194" s="13">
        <f>'option 3.2 modernised pack targ'!C202</f>
        <v>14618</v>
      </c>
      <c r="D194" s="14" t="s">
        <v>37</v>
      </c>
      <c r="E194" s="14" t="s">
        <v>34</v>
      </c>
      <c r="G194" s="21" t="s">
        <v>106</v>
      </c>
      <c r="H194" s="1">
        <f>C195/C196*100</f>
        <v>0.15993265993265993</v>
      </c>
      <c r="I194" s="21" t="s">
        <v>2</v>
      </c>
      <c r="P194" s="4"/>
      <c r="Q194" s="4"/>
      <c r="R194" s="16"/>
    </row>
    <row r="195" spans="1:47" ht="14.25" x14ac:dyDescent="0.2">
      <c r="B195" s="14" t="s">
        <v>106</v>
      </c>
      <c r="C195" s="13">
        <f>'option 3.2 modernised pack targ'!C203</f>
        <v>38</v>
      </c>
      <c r="D195" s="14" t="s">
        <v>37</v>
      </c>
      <c r="E195" s="14" t="s">
        <v>34</v>
      </c>
      <c r="G195" s="21" t="s">
        <v>82</v>
      </c>
      <c r="H195" s="1">
        <f>C192/C196*100</f>
        <v>8.8047138047138045</v>
      </c>
      <c r="I195" s="21" t="s">
        <v>2</v>
      </c>
      <c r="Y195" s="4"/>
    </row>
    <row r="196" spans="1:47" ht="14.25" x14ac:dyDescent="0.2">
      <c r="A196" s="4"/>
      <c r="B196" s="22"/>
      <c r="C196" s="15">
        <f>SUM(C190:C195)</f>
        <v>23760</v>
      </c>
      <c r="D196" s="22"/>
      <c r="E196" s="22"/>
      <c r="F196" s="4"/>
      <c r="G196" s="4"/>
      <c r="H196" s="16">
        <f>SUM(H190:H195)</f>
        <v>100</v>
      </c>
      <c r="I196" s="4"/>
      <c r="J196" s="4"/>
      <c r="K196" s="4"/>
      <c r="L196" s="4"/>
      <c r="M196" s="4"/>
      <c r="N196" s="4"/>
      <c r="O196" s="4"/>
    </row>
    <row r="197" spans="1:47" ht="14.25" x14ac:dyDescent="0.2">
      <c r="B197" s="14" t="s">
        <v>63</v>
      </c>
      <c r="C197" s="13">
        <f>'option 3.2 modernised pack targ'!C205</f>
        <v>171</v>
      </c>
      <c r="D197" s="14" t="s">
        <v>31</v>
      </c>
      <c r="E197" s="14" t="s">
        <v>34</v>
      </c>
      <c r="G197" s="20" t="s">
        <v>62</v>
      </c>
      <c r="H197" s="1">
        <f>C201/C203*100</f>
        <v>66.364394413174892</v>
      </c>
      <c r="I197" s="21" t="s">
        <v>2</v>
      </c>
      <c r="AP197" s="4"/>
      <c r="AQ197" s="4"/>
      <c r="AR197" s="4"/>
      <c r="AS197" s="4"/>
      <c r="AT197" s="4"/>
      <c r="AU197" s="4"/>
    </row>
    <row r="198" spans="1:47" s="4" customFormat="1" ht="14.25" x14ac:dyDescent="0.2">
      <c r="A198"/>
      <c r="B198" s="14" t="s">
        <v>64</v>
      </c>
      <c r="C198" s="13">
        <f>'option 3.2 modernised pack targ'!C206</f>
        <v>726</v>
      </c>
      <c r="D198" s="14" t="s">
        <v>31</v>
      </c>
      <c r="E198" s="14" t="s">
        <v>34</v>
      </c>
      <c r="F198"/>
      <c r="G198" s="20" t="s">
        <v>63</v>
      </c>
      <c r="H198" s="1">
        <f>C197/C203*100</f>
        <v>0.59412132582864297</v>
      </c>
      <c r="I198" s="21" t="s">
        <v>2</v>
      </c>
      <c r="J198"/>
      <c r="K198"/>
      <c r="L198"/>
      <c r="M198"/>
      <c r="N198"/>
      <c r="O198"/>
      <c r="P198"/>
      <c r="Q198"/>
      <c r="R198" s="1"/>
      <c r="S198"/>
      <c r="T198"/>
      <c r="U198"/>
      <c r="V198"/>
      <c r="Y198"/>
      <c r="AP198"/>
      <c r="AQ198"/>
      <c r="AR198"/>
      <c r="AS198"/>
      <c r="AT198"/>
      <c r="AU198"/>
    </row>
    <row r="199" spans="1:47" ht="14.25" x14ac:dyDescent="0.2">
      <c r="B199" s="14" t="s">
        <v>82</v>
      </c>
      <c r="C199" s="13">
        <f>'option 3.2 modernised pack targ'!C207</f>
        <v>6380</v>
      </c>
      <c r="D199" s="14" t="s">
        <v>31</v>
      </c>
      <c r="E199" s="14" t="s">
        <v>34</v>
      </c>
      <c r="G199" s="20" t="s">
        <v>76</v>
      </c>
      <c r="H199" s="1">
        <f>C198/C203*100</f>
        <v>2.5224098394830103</v>
      </c>
      <c r="I199" s="21" t="s">
        <v>2</v>
      </c>
      <c r="U199" s="4"/>
      <c r="V199" s="4"/>
    </row>
    <row r="200" spans="1:47" ht="14.25" x14ac:dyDescent="0.2">
      <c r="B200" s="14" t="s">
        <v>65</v>
      </c>
      <c r="C200" s="13">
        <f>'option 3.2 modernised pack targ'!C208</f>
        <v>2092</v>
      </c>
      <c r="D200" s="14" t="s">
        <v>31</v>
      </c>
      <c r="E200" s="14" t="s">
        <v>34</v>
      </c>
      <c r="G200" s="21" t="s">
        <v>65</v>
      </c>
      <c r="H200" s="1">
        <f>C200/C203*100</f>
        <v>7.2684316586755617</v>
      </c>
      <c r="I200" s="21" t="s">
        <v>2</v>
      </c>
      <c r="S200" s="4"/>
      <c r="T200" s="4"/>
    </row>
    <row r="201" spans="1:47" ht="14.25" x14ac:dyDescent="0.2">
      <c r="B201" s="14" t="s">
        <v>94</v>
      </c>
      <c r="C201" s="13">
        <f>'option 3.2 modernised pack targ'!C209</f>
        <v>19101</v>
      </c>
      <c r="D201" s="14" t="s">
        <v>31</v>
      </c>
      <c r="E201" s="14" t="s">
        <v>34</v>
      </c>
      <c r="G201" s="21" t="s">
        <v>106</v>
      </c>
      <c r="H201" s="1">
        <f>C202/C203*100</f>
        <v>1.084010840108401</v>
      </c>
      <c r="I201" s="21" t="s">
        <v>2</v>
      </c>
      <c r="P201" s="4"/>
      <c r="Q201" s="4"/>
      <c r="R201" s="16"/>
    </row>
    <row r="202" spans="1:47" ht="14.25" x14ac:dyDescent="0.2">
      <c r="B202" s="21" t="s">
        <v>106</v>
      </c>
      <c r="C202" s="13">
        <f>'option 3.2 modernised pack targ'!C210</f>
        <v>312</v>
      </c>
      <c r="D202" s="21" t="s">
        <v>31</v>
      </c>
      <c r="E202" s="21" t="s">
        <v>34</v>
      </c>
      <c r="G202" s="21" t="s">
        <v>82</v>
      </c>
      <c r="H202" s="1">
        <f>C199/C203*100</f>
        <v>22.166631922729486</v>
      </c>
      <c r="I202" s="21" t="s">
        <v>2</v>
      </c>
      <c r="Y202" s="4"/>
    </row>
    <row r="203" spans="1:47" ht="14.25" x14ac:dyDescent="0.2">
      <c r="A203" s="4"/>
      <c r="B203" s="4"/>
      <c r="C203" s="15">
        <f>SUM(C197:C202)</f>
        <v>28782</v>
      </c>
      <c r="D203" s="4"/>
      <c r="E203" s="4"/>
      <c r="F203" s="4"/>
      <c r="G203" s="4"/>
      <c r="H203" s="16">
        <f>SUM(H197:H202)</f>
        <v>100</v>
      </c>
      <c r="I203" s="4"/>
      <c r="J203" s="4"/>
      <c r="K203" s="4"/>
      <c r="L203" s="4"/>
      <c r="M203" s="4"/>
      <c r="N203" s="4"/>
      <c r="O203" s="4"/>
    </row>
    <row r="205" spans="1:47" x14ac:dyDescent="0.2">
      <c r="F205" t="s">
        <v>13</v>
      </c>
      <c r="G205" t="s">
        <v>62</v>
      </c>
      <c r="H205" s="126">
        <f>'option 3.2 modernised pack targ'!H213</f>
        <v>61.076597781504347</v>
      </c>
      <c r="I205" t="s">
        <v>2</v>
      </c>
      <c r="W205" s="4"/>
      <c r="X205" s="4"/>
    </row>
    <row r="206" spans="1:47" x14ac:dyDescent="0.2">
      <c r="G206" t="s">
        <v>63</v>
      </c>
      <c r="H206" s="127">
        <f>'option 3.2 modernised pack targ'!H214</f>
        <v>2.9535731425166882</v>
      </c>
      <c r="I206" t="s">
        <v>2</v>
      </c>
      <c r="U206" s="4"/>
      <c r="V206" s="4"/>
    </row>
    <row r="207" spans="1:47" x14ac:dyDescent="0.2">
      <c r="G207" s="37" t="s">
        <v>76</v>
      </c>
      <c r="H207" s="38">
        <f>'option 3.2 modernised pack targ'!H215</f>
        <v>2.895569760355964</v>
      </c>
      <c r="I207" s="37" t="s">
        <v>2</v>
      </c>
      <c r="K207" s="1"/>
      <c r="S207" s="4"/>
      <c r="T207" s="4"/>
    </row>
    <row r="208" spans="1:47" x14ac:dyDescent="0.2">
      <c r="G208" t="s">
        <v>113</v>
      </c>
      <c r="H208" s="127">
        <f>'option 3.2 modernised pack targ'!H216</f>
        <v>2.4493394141683797</v>
      </c>
      <c r="I208" t="s">
        <v>2</v>
      </c>
      <c r="P208" s="4"/>
      <c r="Q208" s="4"/>
      <c r="R208" s="16"/>
    </row>
    <row r="209" spans="1:47" x14ac:dyDescent="0.2">
      <c r="G209" t="s">
        <v>114</v>
      </c>
      <c r="H209" s="200">
        <f>'option 3.2 modernised pack targ'!H217</f>
        <v>0.44623034618758411</v>
      </c>
      <c r="I209" t="s">
        <v>2</v>
      </c>
    </row>
    <row r="210" spans="1:47" x14ac:dyDescent="0.2">
      <c r="G210" t="s">
        <v>65</v>
      </c>
      <c r="H210" s="127">
        <f>'option 3.2 modernised pack targ'!H218</f>
        <v>20.846115369684046</v>
      </c>
      <c r="I210" t="s">
        <v>2</v>
      </c>
    </row>
    <row r="211" spans="1:47" x14ac:dyDescent="0.2">
      <c r="G211" t="s">
        <v>106</v>
      </c>
      <c r="H211" s="127">
        <f>'option 3.2 modernised pack targ'!H219</f>
        <v>0.51026444835174956</v>
      </c>
      <c r="I211" t="s">
        <v>2</v>
      </c>
    </row>
    <row r="212" spans="1:47" x14ac:dyDescent="0.2">
      <c r="G212" t="s">
        <v>82</v>
      </c>
      <c r="H212" s="128">
        <f>'option 3.2 modernised pack targ'!H220</f>
        <v>11.717879497587189</v>
      </c>
      <c r="I212" t="s">
        <v>2</v>
      </c>
      <c r="W212" s="4"/>
      <c r="X212" s="4"/>
    </row>
    <row r="213" spans="1:47" x14ac:dyDescent="0.2">
      <c r="U213" s="4"/>
      <c r="V213" s="4"/>
    </row>
    <row r="214" spans="1:47" x14ac:dyDescent="0.2">
      <c r="H214" s="1">
        <f>SUM(H205:H212)-H207</f>
        <v>99.999999999999986</v>
      </c>
      <c r="S214" s="4"/>
      <c r="T214" s="4"/>
    </row>
    <row r="215" spans="1:47" x14ac:dyDescent="0.2">
      <c r="P215" s="4"/>
      <c r="Q215" s="4"/>
      <c r="R215" s="16"/>
    </row>
    <row r="217" spans="1:47" x14ac:dyDescent="0.2">
      <c r="B217" s="84" t="s">
        <v>123</v>
      </c>
      <c r="C217" s="53"/>
      <c r="D217" s="53"/>
    </row>
    <row r="218" spans="1:47" x14ac:dyDescent="0.2">
      <c r="B218" t="s">
        <v>239</v>
      </c>
    </row>
    <row r="220" spans="1:47" x14ac:dyDescent="0.2">
      <c r="B220" t="s">
        <v>214</v>
      </c>
      <c r="C220" s="247">
        <f>'option 3.3 limiting landfill'!K224</f>
        <v>6.3548754705702466</v>
      </c>
      <c r="D220" t="s">
        <v>2</v>
      </c>
    </row>
    <row r="221" spans="1:47" x14ac:dyDescent="0.2">
      <c r="E221" s="79"/>
      <c r="F221" s="79"/>
      <c r="G221" s="79"/>
      <c r="H221" s="80"/>
      <c r="K221" s="211"/>
    </row>
    <row r="222" spans="1:47" x14ac:dyDescent="0.2">
      <c r="E222" s="80"/>
      <c r="F222" s="80"/>
      <c r="G222" s="80"/>
      <c r="H222" s="80"/>
      <c r="K222" s="211"/>
    </row>
    <row r="224" spans="1:47" s="1" customFormat="1" x14ac:dyDescent="0.2">
      <c r="A224"/>
      <c r="B224" s="84" t="s">
        <v>218</v>
      </c>
      <c r="C224"/>
      <c r="D224"/>
      <c r="E224"/>
      <c r="F224"/>
      <c r="G224"/>
      <c r="I224"/>
      <c r="J224"/>
      <c r="K224"/>
      <c r="L224"/>
      <c r="M224"/>
      <c r="N224"/>
      <c r="O224"/>
      <c r="P224"/>
      <c r="Q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1:47" s="1" customFormat="1" x14ac:dyDescent="0.2">
      <c r="A225"/>
      <c r="B225" s="84"/>
      <c r="C225"/>
      <c r="D225" t="s">
        <v>231</v>
      </c>
      <c r="E225"/>
      <c r="F225" s="316" t="s">
        <v>255</v>
      </c>
      <c r="G225" s="316"/>
      <c r="H225" s="316" t="s">
        <v>256</v>
      </c>
      <c r="I225" s="316"/>
      <c r="J225"/>
      <c r="L225"/>
      <c r="M225"/>
      <c r="N225"/>
      <c r="P225"/>
      <c r="Q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1:47" s="1" customFormat="1" ht="13.5" thickBot="1" x14ac:dyDescent="0.25">
      <c r="A226"/>
      <c r="B226"/>
      <c r="C226" t="s">
        <v>230</v>
      </c>
      <c r="D226" t="s">
        <v>254</v>
      </c>
      <c r="E226"/>
      <c r="F226" s="316"/>
      <c r="G226" s="316"/>
      <c r="H226" s="316"/>
      <c r="I226" s="316"/>
      <c r="J226"/>
      <c r="K226" s="79"/>
      <c r="L226" s="79"/>
      <c r="M226" s="79"/>
      <c r="N226" s="79"/>
      <c r="O226" s="79"/>
      <c r="P226" s="79"/>
      <c r="Q226" s="79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1:47" s="1" customFormat="1" ht="13.5" thickTop="1" x14ac:dyDescent="0.2">
      <c r="A227"/>
      <c r="B227" t="s">
        <v>219</v>
      </c>
      <c r="C227" s="164">
        <f>'option 3.3 limiting landfill'!C295</f>
        <v>57.205411411018893</v>
      </c>
      <c r="D227" s="168">
        <v>0.50663573402476891</v>
      </c>
      <c r="E227" s="164"/>
      <c r="F227" s="2">
        <f>1*($C$220)/C227*D227</f>
        <v>5.6281511123757004E-2</v>
      </c>
      <c r="G227" s="2" t="s">
        <v>2</v>
      </c>
      <c r="H227" s="2">
        <f>$C$220-F227</f>
        <v>6.2985939594464897</v>
      </c>
      <c r="I227" s="1" t="s">
        <v>2</v>
      </c>
      <c r="J227"/>
      <c r="K227" s="164"/>
      <c r="L227" s="164"/>
      <c r="M227" s="164"/>
      <c r="N227" s="79"/>
      <c r="O227" s="79"/>
      <c r="P227" s="79"/>
      <c r="Q227" s="79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1:47" s="1" customFormat="1" x14ac:dyDescent="0.2">
      <c r="A228"/>
      <c r="B228" t="s">
        <v>220</v>
      </c>
      <c r="C228" s="164">
        <f>'option 3.3 limiting landfill'!C296</f>
        <v>57.205411411018893</v>
      </c>
      <c r="D228" s="220">
        <v>0.50663573402476891</v>
      </c>
      <c r="E228" s="164"/>
      <c r="F228" s="2">
        <f t="shared" ref="F228:F237" si="84">1*($C$220)/C228*D228</f>
        <v>5.6281511123757004E-2</v>
      </c>
      <c r="G228" s="2" t="s">
        <v>2</v>
      </c>
      <c r="H228" s="2">
        <f t="shared" ref="H228:H237" si="85">$C$220-F228</f>
        <v>6.2985939594464897</v>
      </c>
      <c r="I228" s="1" t="s">
        <v>2</v>
      </c>
      <c r="J228"/>
      <c r="K228" s="164"/>
      <c r="L228" s="164"/>
      <c r="M228" s="164"/>
      <c r="N228" s="79"/>
      <c r="O228" s="79"/>
      <c r="P228" s="79"/>
      <c r="Q228" s="79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1:47" s="1" customFormat="1" x14ac:dyDescent="0.2">
      <c r="A229"/>
      <c r="B229" t="s">
        <v>221</v>
      </c>
      <c r="C229" s="164">
        <f>'option 3.3 limiting landfill'!C297</f>
        <v>57.205411411018893</v>
      </c>
      <c r="D229" s="220">
        <v>0.50663573402476891</v>
      </c>
      <c r="E229" s="164"/>
      <c r="F229" s="2">
        <f t="shared" si="84"/>
        <v>5.6281511123757004E-2</v>
      </c>
      <c r="G229" s="2" t="s">
        <v>2</v>
      </c>
      <c r="H229" s="2">
        <f t="shared" si="85"/>
        <v>6.2985939594464897</v>
      </c>
      <c r="I229" s="1" t="s">
        <v>2</v>
      </c>
      <c r="J229"/>
      <c r="K229" s="164"/>
      <c r="L229" s="164"/>
      <c r="M229" s="164"/>
      <c r="N229" s="79"/>
      <c r="O229" s="79"/>
      <c r="P229" s="79"/>
      <c r="Q229" s="7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1:47" s="1" customFormat="1" x14ac:dyDescent="0.2">
      <c r="A230"/>
      <c r="B230" t="s">
        <v>222</v>
      </c>
      <c r="C230" s="164">
        <f>'option 3.3 limiting landfill'!C298</f>
        <v>57.205411411018893</v>
      </c>
      <c r="D230" s="220">
        <v>0.50663573402476891</v>
      </c>
      <c r="E230" s="164"/>
      <c r="F230" s="2">
        <f t="shared" si="84"/>
        <v>5.6281511123757004E-2</v>
      </c>
      <c r="G230" s="2" t="s">
        <v>2</v>
      </c>
      <c r="H230" s="2">
        <f t="shared" si="85"/>
        <v>6.2985939594464897</v>
      </c>
      <c r="I230" s="1" t="s">
        <v>2</v>
      </c>
      <c r="J230"/>
      <c r="K230" s="164"/>
      <c r="L230" s="164"/>
      <c r="M230" s="164"/>
      <c r="N230" s="79"/>
      <c r="O230" s="79"/>
      <c r="P230" s="79"/>
      <c r="Q230" s="79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1:47" s="1" customFormat="1" x14ac:dyDescent="0.2">
      <c r="A231"/>
      <c r="B231" t="s">
        <v>223</v>
      </c>
      <c r="C231" s="164">
        <f>'option 3.3 limiting landfill'!C299</f>
        <v>57.205411411018893</v>
      </c>
      <c r="D231" s="220">
        <v>0.50663573402476891</v>
      </c>
      <c r="E231" s="164"/>
      <c r="F231" s="2">
        <f t="shared" si="84"/>
        <v>5.6281511123757004E-2</v>
      </c>
      <c r="G231" s="2" t="s">
        <v>2</v>
      </c>
      <c r="H231" s="2">
        <f t="shared" si="85"/>
        <v>6.2985939594464897</v>
      </c>
      <c r="I231" s="1" t="s">
        <v>2</v>
      </c>
      <c r="J231"/>
      <c r="K231" s="164"/>
      <c r="L231" s="164"/>
      <c r="M231" s="164"/>
      <c r="N231" s="79"/>
      <c r="O231" s="79"/>
      <c r="P231" s="79"/>
      <c r="Q231" s="79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1:47" s="1" customFormat="1" x14ac:dyDescent="0.2">
      <c r="A232"/>
      <c r="B232" t="s">
        <v>224</v>
      </c>
      <c r="C232" s="164">
        <f>'option 3.3 limiting landfill'!C300</f>
        <v>22.698898763923985</v>
      </c>
      <c r="D232" s="220">
        <v>0.62276977409562473</v>
      </c>
      <c r="E232" s="164"/>
      <c r="F232" s="2">
        <f t="shared" si="84"/>
        <v>0.17435314384074113</v>
      </c>
      <c r="G232" s="2" t="s">
        <v>2</v>
      </c>
      <c r="H232" s="2">
        <f t="shared" si="85"/>
        <v>6.1805223267295055</v>
      </c>
      <c r="I232" s="1" t="s">
        <v>2</v>
      </c>
      <c r="J232"/>
      <c r="K232" s="164"/>
      <c r="L232" s="164"/>
      <c r="M232" s="164"/>
      <c r="N232" s="79"/>
      <c r="O232" s="79"/>
      <c r="P232" s="79"/>
      <c r="Q232" s="79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1:47" s="1" customFormat="1" x14ac:dyDescent="0.2">
      <c r="A233"/>
      <c r="B233" t="s">
        <v>225</v>
      </c>
      <c r="C233" s="164">
        <f>'option 3.3 limiting landfill'!C301</f>
        <v>28.713565268542997</v>
      </c>
      <c r="D233" s="220">
        <v>2.8910749896946264</v>
      </c>
      <c r="E233" s="164"/>
      <c r="F233" s="2">
        <f t="shared" si="84"/>
        <v>0.6398516298398278</v>
      </c>
      <c r="G233" s="2" t="s">
        <v>2</v>
      </c>
      <c r="H233" s="2">
        <f t="shared" si="85"/>
        <v>5.715023840730419</v>
      </c>
      <c r="I233" s="1" t="s">
        <v>2</v>
      </c>
      <c r="J233"/>
      <c r="K233" s="164"/>
      <c r="L233" s="164"/>
      <c r="M233" s="164"/>
      <c r="N233" s="79"/>
      <c r="O233" s="79"/>
      <c r="P233" s="79"/>
      <c r="Q233" s="79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1:47" s="1" customFormat="1" x14ac:dyDescent="0.2">
      <c r="A234"/>
      <c r="B234" t="s">
        <v>226</v>
      </c>
      <c r="C234" s="164">
        <f>'option 3.3 limiting landfill'!C302</f>
        <v>27.126139606405797</v>
      </c>
      <c r="D234" s="220">
        <v>6.4031808695131165</v>
      </c>
      <c r="E234" s="164"/>
      <c r="F234" s="2">
        <f t="shared" si="84"/>
        <v>1.500081383924027</v>
      </c>
      <c r="G234" s="2" t="s">
        <v>2</v>
      </c>
      <c r="H234" s="2">
        <f t="shared" si="85"/>
        <v>4.8547940866462191</v>
      </c>
      <c r="I234" s="1" t="s">
        <v>2</v>
      </c>
      <c r="J234"/>
      <c r="K234" s="164"/>
      <c r="L234" s="164"/>
      <c r="M234" s="164"/>
      <c r="N234" s="79"/>
      <c r="O234" s="79"/>
      <c r="P234" s="79"/>
      <c r="Q234" s="79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1:47" s="1" customFormat="1" x14ac:dyDescent="0.2">
      <c r="A235"/>
      <c r="B235" t="s">
        <v>227</v>
      </c>
      <c r="C235" s="164">
        <f>'option 3.3 limiting landfill'!C303</f>
        <v>27.126139606405797</v>
      </c>
      <c r="D235" s="220">
        <v>6.4031808695131165</v>
      </c>
      <c r="E235" s="164"/>
      <c r="F235" s="2">
        <f t="shared" si="84"/>
        <v>1.500081383924027</v>
      </c>
      <c r="G235" s="2" t="s">
        <v>2</v>
      </c>
      <c r="H235" s="2">
        <f t="shared" si="85"/>
        <v>4.8547940866462191</v>
      </c>
      <c r="I235" s="1" t="s">
        <v>2</v>
      </c>
      <c r="J235"/>
      <c r="K235" s="164"/>
      <c r="L235" s="164"/>
      <c r="M235" s="164"/>
      <c r="N235" s="79"/>
      <c r="O235" s="79"/>
      <c r="P235" s="79"/>
      <c r="Q235" s="79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1:47" s="1" customFormat="1" x14ac:dyDescent="0.2">
      <c r="A236"/>
      <c r="B236" t="s">
        <v>228</v>
      </c>
      <c r="C236" s="164">
        <f>'option 3.3 limiting landfill'!C304</f>
        <v>8.4855222906258163</v>
      </c>
      <c r="D236" s="220">
        <v>0.25011889395042153</v>
      </c>
      <c r="E236" s="164"/>
      <c r="F236" s="2">
        <f t="shared" si="84"/>
        <v>0.1873160389487904</v>
      </c>
      <c r="G236" s="2" t="s">
        <v>2</v>
      </c>
      <c r="H236" s="2">
        <f t="shared" si="85"/>
        <v>6.1675594316214566</v>
      </c>
      <c r="I236" s="1" t="s">
        <v>2</v>
      </c>
      <c r="J236"/>
      <c r="K236" s="164"/>
      <c r="L236" s="164"/>
      <c r="M236" s="164"/>
      <c r="N236" s="79"/>
      <c r="O236" s="79"/>
      <c r="P236" s="79"/>
      <c r="Q236" s="79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1:47" s="1" customFormat="1" ht="13.5" thickBot="1" x14ac:dyDescent="0.25">
      <c r="A237"/>
      <c r="B237" t="s">
        <v>229</v>
      </c>
      <c r="C237" s="164">
        <f>'option 3.3 limiting landfill'!C305</f>
        <v>32.347577733165167</v>
      </c>
      <c r="D237" s="169">
        <v>0.20317109444205153</v>
      </c>
      <c r="E237" s="164"/>
      <c r="F237" s="2">
        <f t="shared" si="84"/>
        <v>3.9914178893059551E-2</v>
      </c>
      <c r="G237" s="2" t="s">
        <v>2</v>
      </c>
      <c r="H237" s="2">
        <f t="shared" si="85"/>
        <v>6.3149612916771867</v>
      </c>
      <c r="I237" s="1" t="s">
        <v>2</v>
      </c>
      <c r="J237"/>
      <c r="K237" s="164"/>
      <c r="L237" s="164"/>
      <c r="M237" s="164"/>
      <c r="N237" s="79"/>
      <c r="O237" s="79"/>
      <c r="P237" s="79"/>
      <c r="Q237" s="79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1:47" s="1" customFormat="1" ht="13.5" thickTop="1" x14ac:dyDescent="0.2">
      <c r="A238"/>
      <c r="B238"/>
      <c r="C238" s="164"/>
      <c r="D238"/>
      <c r="E238"/>
      <c r="F238"/>
      <c r="G238"/>
      <c r="I238"/>
      <c r="J238"/>
      <c r="K238" s="79"/>
      <c r="L238" s="79"/>
      <c r="M238" s="79"/>
      <c r="N238" s="79"/>
      <c r="O238" s="79"/>
      <c r="P238" s="79"/>
      <c r="Q238" s="79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1:47" s="1" customFormat="1" x14ac:dyDescent="0.2">
      <c r="A239"/>
      <c r="C239"/>
      <c r="D239"/>
      <c r="E239"/>
      <c r="F239"/>
      <c r="G239"/>
      <c r="I239"/>
      <c r="J239"/>
      <c r="K239" s="79"/>
      <c r="L239" s="79"/>
      <c r="M239" s="80"/>
      <c r="N239" s="80"/>
      <c r="O239" s="80"/>
      <c r="P239" s="79"/>
      <c r="Q239" s="7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</sheetData>
  <mergeCells count="7">
    <mergeCell ref="F225:G226"/>
    <mergeCell ref="H225:I226"/>
    <mergeCell ref="Y5:Z5"/>
    <mergeCell ref="AI5:AJ5"/>
    <mergeCell ref="AS5:AT5"/>
    <mergeCell ref="G25:G29"/>
    <mergeCell ref="H28:K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summary</vt:lpstr>
      <vt:lpstr>baseline BAU</vt:lpstr>
      <vt:lpstr>option 1 full implementation</vt:lpstr>
      <vt:lpstr>option 2 single calculation met</vt:lpstr>
      <vt:lpstr>option 3.1 higher MSW recycling</vt:lpstr>
      <vt:lpstr>option 3.2 modernised pack targ</vt:lpstr>
      <vt:lpstr>option 3.3 limiting landfill</vt:lpstr>
      <vt:lpstr>option 3.4 combination</vt:lpstr>
      <vt:lpstr>scenario maximum feasible</vt:lpstr>
      <vt:lpstr>scenario plastics only</vt:lpstr>
    </vt:vector>
  </TitlesOfParts>
  <Company>ARCADIS Belgium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Acoleyen, Mike</dc:creator>
  <cp:lastModifiedBy>Van Acoleyen, Mike</cp:lastModifiedBy>
  <dcterms:created xsi:type="dcterms:W3CDTF">2013-12-10T15:08:55Z</dcterms:created>
  <dcterms:modified xsi:type="dcterms:W3CDTF">2014-03-21T14:14:40Z</dcterms:modified>
</cp:coreProperties>
</file>