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90" windowWidth="14940" windowHeight="8730" firstSheet="1" activeTab="7"/>
  </bookViews>
  <sheets>
    <sheet name="total generation" sheetId="21" r:id="rId1"/>
    <sheet name="decoupling" sheetId="11" r:id="rId2"/>
    <sheet name="MSW recycling" sheetId="13" r:id="rId3"/>
    <sheet name="MSW paper glass metal plastics" sheetId="15" r:id="rId4"/>
    <sheet name="packaging recycling" sheetId="16" r:id="rId5"/>
    <sheet name="alu steel packaging" sheetId="19" r:id="rId6"/>
    <sheet name="landfill" sheetId="23" r:id="rId7"/>
    <sheet name="plastics only" sheetId="24" r:id="rId8"/>
  </sheets>
  <calcPr calcId="145621"/>
</workbook>
</file>

<file path=xl/calcChain.xml><?xml version="1.0" encoding="utf-8"?>
<calcChain xmlns="http://schemas.openxmlformats.org/spreadsheetml/2006/main">
  <c r="T74" i="11" l="1"/>
  <c r="R75" i="11" s="1"/>
  <c r="R73" i="11"/>
  <c r="O75" i="11"/>
  <c r="O74" i="11"/>
  <c r="O73" i="11"/>
  <c r="F78" i="15" l="1"/>
  <c r="J62" i="23"/>
  <c r="G233" i="23"/>
  <c r="F233" i="23"/>
  <c r="F232" i="23"/>
  <c r="G232" i="23" s="1"/>
  <c r="G231" i="23"/>
  <c r="F231" i="23"/>
  <c r="F230" i="23"/>
  <c r="G230" i="23" s="1"/>
  <c r="G229" i="23"/>
  <c r="F229" i="23"/>
  <c r="F228" i="23"/>
  <c r="G228" i="23" s="1"/>
  <c r="G225" i="23"/>
  <c r="F225" i="23"/>
  <c r="F224" i="23"/>
  <c r="G224" i="23" s="1"/>
  <c r="G223" i="23"/>
  <c r="F223" i="23"/>
  <c r="F222" i="23"/>
  <c r="G222" i="23" s="1"/>
  <c r="G221" i="23"/>
  <c r="F221" i="23"/>
  <c r="F220" i="23"/>
  <c r="G220" i="23" s="1"/>
  <c r="G218" i="23"/>
  <c r="F218" i="23"/>
  <c r="F216" i="23"/>
  <c r="G216" i="23" s="1"/>
  <c r="G215" i="23"/>
  <c r="F215" i="23"/>
  <c r="F213" i="23"/>
  <c r="G213" i="23" s="1"/>
  <c r="G211" i="23"/>
  <c r="F211" i="23"/>
  <c r="F210" i="23"/>
  <c r="G210" i="23" s="1"/>
  <c r="J208" i="23" s="1"/>
  <c r="G209" i="23"/>
  <c r="F209" i="23"/>
  <c r="F208" i="23"/>
  <c r="G208" i="23" s="1"/>
  <c r="F207" i="23"/>
  <c r="G207" i="23" s="1"/>
  <c r="F204" i="23"/>
  <c r="G204" i="23" s="1"/>
  <c r="F203" i="23"/>
  <c r="G203" i="23" s="1"/>
  <c r="F202" i="23"/>
  <c r="G202" i="23" s="1"/>
  <c r="F201" i="23"/>
  <c r="G201" i="23" s="1"/>
  <c r="F200" i="23"/>
  <c r="G200" i="23" s="1"/>
  <c r="F199" i="23"/>
  <c r="G199" i="23" s="1"/>
  <c r="F198" i="23"/>
  <c r="G198" i="23" s="1"/>
  <c r="F197" i="23"/>
  <c r="G197" i="23" s="1"/>
  <c r="F196" i="23"/>
  <c r="G196" i="23" s="1"/>
  <c r="F195" i="23"/>
  <c r="G195" i="23" s="1"/>
  <c r="F194" i="23"/>
  <c r="G194" i="23" s="1"/>
  <c r="F193" i="23"/>
  <c r="G193" i="23" s="1"/>
  <c r="F192" i="23"/>
  <c r="G192" i="23" s="1"/>
  <c r="F191" i="23"/>
  <c r="G191" i="23" s="1"/>
  <c r="F190" i="23"/>
  <c r="G190" i="23" s="1"/>
  <c r="F189" i="23"/>
  <c r="G189" i="23" s="1"/>
  <c r="F188" i="23"/>
  <c r="G188" i="23" s="1"/>
  <c r="F187" i="23"/>
  <c r="G187" i="23" s="1"/>
  <c r="F186" i="23"/>
  <c r="G186" i="23" s="1"/>
  <c r="F185" i="23"/>
  <c r="G185" i="23" s="1"/>
  <c r="F184" i="23"/>
  <c r="G184" i="23" s="1"/>
  <c r="F183" i="23"/>
  <c r="G183" i="23" s="1"/>
  <c r="F182" i="23"/>
  <c r="G182" i="23" s="1"/>
  <c r="F181" i="23"/>
  <c r="G181" i="23" s="1"/>
  <c r="F180" i="23"/>
  <c r="G180" i="23" s="1"/>
  <c r="F179" i="23"/>
  <c r="G179" i="23" s="1"/>
  <c r="G178" i="23"/>
  <c r="J179" i="23" s="1"/>
  <c r="F178" i="23"/>
  <c r="F177" i="23"/>
  <c r="G177" i="23" s="1"/>
  <c r="G175" i="23"/>
  <c r="F175" i="23"/>
  <c r="F174" i="23"/>
  <c r="G174" i="23" s="1"/>
  <c r="G173" i="23"/>
  <c r="F173" i="23"/>
  <c r="F172" i="23"/>
  <c r="G172" i="23" s="1"/>
  <c r="G171" i="23"/>
  <c r="F171" i="23"/>
  <c r="F170" i="23"/>
  <c r="G170" i="23" s="1"/>
  <c r="G169" i="23"/>
  <c r="F169" i="23"/>
  <c r="F168" i="23"/>
  <c r="G168" i="23" s="1"/>
  <c r="G167" i="23"/>
  <c r="F167" i="23"/>
  <c r="F166" i="23"/>
  <c r="G166" i="23" s="1"/>
  <c r="G165" i="23"/>
  <c r="F165" i="23"/>
  <c r="F164" i="23"/>
  <c r="G164" i="23" s="1"/>
  <c r="G163" i="23"/>
  <c r="F163" i="23"/>
  <c r="F162" i="23"/>
  <c r="G162" i="23" s="1"/>
  <c r="G161" i="23"/>
  <c r="F161" i="23"/>
  <c r="F160" i="23"/>
  <c r="G160" i="23" s="1"/>
  <c r="G159" i="23"/>
  <c r="F159" i="23"/>
  <c r="F158" i="23"/>
  <c r="G158" i="23" s="1"/>
  <c r="G157" i="23"/>
  <c r="F157" i="23"/>
  <c r="F156" i="23"/>
  <c r="G156" i="23" s="1"/>
  <c r="G155" i="23"/>
  <c r="F155" i="23"/>
  <c r="F154" i="23"/>
  <c r="G154" i="23" s="1"/>
  <c r="G153" i="23"/>
  <c r="F153" i="23"/>
  <c r="F152" i="23"/>
  <c r="G152" i="23" s="1"/>
  <c r="G151" i="23"/>
  <c r="F151" i="23"/>
  <c r="F150" i="23"/>
  <c r="G150" i="23" s="1"/>
  <c r="F149" i="23"/>
  <c r="G149" i="23" s="1"/>
  <c r="F148" i="23"/>
  <c r="G148" i="23" s="1"/>
  <c r="F146" i="23"/>
  <c r="G146" i="23" s="1"/>
  <c r="F144" i="23"/>
  <c r="G144" i="23" s="1"/>
  <c r="F143" i="23"/>
  <c r="G143" i="23" s="1"/>
  <c r="F142" i="23"/>
  <c r="G142" i="23" s="1"/>
  <c r="F141" i="23"/>
  <c r="G141" i="23" s="1"/>
  <c r="F140" i="23"/>
  <c r="G140" i="23" s="1"/>
  <c r="F139" i="23"/>
  <c r="G139" i="23" s="1"/>
  <c r="F138" i="23"/>
  <c r="G138" i="23" s="1"/>
  <c r="F137" i="23"/>
  <c r="G137" i="23" s="1"/>
  <c r="F136" i="23"/>
  <c r="G136" i="23" s="1"/>
  <c r="F135" i="23"/>
  <c r="G135" i="23" s="1"/>
  <c r="F134" i="23"/>
  <c r="G134" i="23" s="1"/>
  <c r="F133" i="23"/>
  <c r="G133" i="23" s="1"/>
  <c r="F132" i="23"/>
  <c r="G132" i="23" s="1"/>
  <c r="F131" i="23"/>
  <c r="G131" i="23" s="1"/>
  <c r="F130" i="23"/>
  <c r="G130" i="23" s="1"/>
  <c r="F129" i="23"/>
  <c r="G129" i="23" s="1"/>
  <c r="F128" i="23"/>
  <c r="G128" i="23" s="1"/>
  <c r="F127" i="23"/>
  <c r="G127" i="23" s="1"/>
  <c r="F126" i="23"/>
  <c r="G126" i="23" s="1"/>
  <c r="F125" i="23"/>
  <c r="G125" i="23" s="1"/>
  <c r="F124" i="23"/>
  <c r="G124" i="23" s="1"/>
  <c r="F123" i="23"/>
  <c r="G123" i="23" s="1"/>
  <c r="F122" i="23"/>
  <c r="G122" i="23" s="1"/>
  <c r="F121" i="23"/>
  <c r="G121" i="23" s="1"/>
  <c r="G120" i="23"/>
  <c r="J121" i="23" s="1"/>
  <c r="F120" i="23"/>
  <c r="F119" i="23"/>
  <c r="G119" i="23" s="1"/>
  <c r="G117" i="23"/>
  <c r="F117" i="23"/>
  <c r="F116" i="23"/>
  <c r="G116" i="23" s="1"/>
  <c r="G115" i="23"/>
  <c r="F115" i="23"/>
  <c r="F114" i="23"/>
  <c r="G114" i="23" s="1"/>
  <c r="G113" i="23"/>
  <c r="F113" i="23"/>
  <c r="F112" i="23"/>
  <c r="G112" i="23" s="1"/>
  <c r="G111" i="23"/>
  <c r="F111" i="23"/>
  <c r="F110" i="23"/>
  <c r="G110" i="23" s="1"/>
  <c r="G109" i="23"/>
  <c r="F109" i="23"/>
  <c r="F108" i="23"/>
  <c r="G108" i="23" s="1"/>
  <c r="G107" i="23"/>
  <c r="F107" i="23"/>
  <c r="F106" i="23"/>
  <c r="G106" i="23" s="1"/>
  <c r="G105" i="23"/>
  <c r="F105" i="23"/>
  <c r="F104" i="23"/>
  <c r="G104" i="23" s="1"/>
  <c r="G103" i="23"/>
  <c r="F103" i="23"/>
  <c r="F102" i="23"/>
  <c r="G102" i="23" s="1"/>
  <c r="G101" i="23"/>
  <c r="F101" i="23"/>
  <c r="F100" i="23"/>
  <c r="G100" i="23" s="1"/>
  <c r="G99" i="23"/>
  <c r="F99" i="23"/>
  <c r="F98" i="23"/>
  <c r="G98" i="23" s="1"/>
  <c r="G97" i="23"/>
  <c r="F97" i="23"/>
  <c r="F96" i="23"/>
  <c r="G96" i="23" s="1"/>
  <c r="G95" i="23"/>
  <c r="J92" i="23" s="1"/>
  <c r="F95" i="23"/>
  <c r="F94" i="23"/>
  <c r="G94" i="23" s="1"/>
  <c r="G93" i="23"/>
  <c r="F93" i="23"/>
  <c r="F92" i="23"/>
  <c r="G92" i="23" s="1"/>
  <c r="F91" i="23"/>
  <c r="G91" i="23" s="1"/>
  <c r="F90" i="23"/>
  <c r="G90" i="23" s="1"/>
  <c r="F88" i="23"/>
  <c r="G88" i="23" s="1"/>
  <c r="F87" i="23"/>
  <c r="G87" i="23" s="1"/>
  <c r="F85" i="23"/>
  <c r="G85" i="23" s="1"/>
  <c r="F84" i="23"/>
  <c r="G84" i="23" s="1"/>
  <c r="F83" i="23"/>
  <c r="G83" i="23" s="1"/>
  <c r="F82" i="23"/>
  <c r="G82" i="23" s="1"/>
  <c r="F81" i="23"/>
  <c r="G81" i="23" s="1"/>
  <c r="F80" i="23"/>
  <c r="G80" i="23" s="1"/>
  <c r="F79" i="23"/>
  <c r="G79" i="23" s="1"/>
  <c r="F78" i="23"/>
  <c r="G78" i="23" s="1"/>
  <c r="F77" i="23"/>
  <c r="G77" i="23" s="1"/>
  <c r="F76" i="23"/>
  <c r="G76" i="23" s="1"/>
  <c r="F75" i="23"/>
  <c r="G75" i="23" s="1"/>
  <c r="F74" i="23"/>
  <c r="G74" i="23" s="1"/>
  <c r="F73" i="23"/>
  <c r="G73" i="23" s="1"/>
  <c r="F72" i="23"/>
  <c r="G72" i="23" s="1"/>
  <c r="F71" i="23"/>
  <c r="G71" i="23" s="1"/>
  <c r="F70" i="23"/>
  <c r="G70" i="23" s="1"/>
  <c r="F69" i="23"/>
  <c r="G69" i="23" s="1"/>
  <c r="F68" i="23"/>
  <c r="G68" i="23" s="1"/>
  <c r="F67" i="23"/>
  <c r="G67" i="23" s="1"/>
  <c r="F66" i="23"/>
  <c r="G66" i="23" s="1"/>
  <c r="F65" i="23"/>
  <c r="G65" i="23" s="1"/>
  <c r="F64" i="23"/>
  <c r="G64" i="23" s="1"/>
  <c r="F63" i="23"/>
  <c r="G63" i="23" s="1"/>
  <c r="G62" i="23"/>
  <c r="F62" i="23"/>
  <c r="F61" i="23"/>
  <c r="G61" i="23" s="1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J14" i="23" s="1"/>
  <c r="E44" i="23"/>
  <c r="J150" i="23" l="1"/>
  <c r="X12" i="13" l="1"/>
  <c r="J17" i="19" l="1"/>
  <c r="J25" i="19"/>
  <c r="F17" i="19" l="1"/>
  <c r="AP119" i="15"/>
  <c r="AO119" i="15"/>
  <c r="AN119" i="15"/>
  <c r="AM119" i="15"/>
  <c r="AP118" i="15"/>
  <c r="AO118" i="15"/>
  <c r="AN118" i="15"/>
  <c r="AM118" i="15"/>
  <c r="AP117" i="15"/>
  <c r="AO117" i="15"/>
  <c r="AN117" i="15"/>
  <c r="AM117" i="15"/>
  <c r="AP116" i="15"/>
  <c r="AO116" i="15"/>
  <c r="AN116" i="15"/>
  <c r="AM116" i="15"/>
  <c r="AP115" i="15"/>
  <c r="AO115" i="15"/>
  <c r="AN115" i="15"/>
  <c r="AM115" i="15"/>
  <c r="J8" i="21" l="1"/>
  <c r="AC19" i="15" l="1"/>
  <c r="AC88" i="16"/>
  <c r="AC87" i="16"/>
  <c r="AC85" i="16"/>
  <c r="AC86" i="16"/>
  <c r="AC82" i="16"/>
  <c r="AC83" i="16"/>
  <c r="AC84" i="16"/>
  <c r="AC81" i="16"/>
  <c r="E69" i="16"/>
  <c r="F69" i="16" s="1"/>
  <c r="AD88" i="16" s="1"/>
  <c r="E66" i="16"/>
  <c r="F66" i="16" s="1"/>
  <c r="AD85" i="16" s="1"/>
  <c r="E65" i="16"/>
  <c r="F65" i="16" s="1"/>
  <c r="AD84" i="16" s="1"/>
  <c r="E64" i="16"/>
  <c r="F64" i="16" s="1"/>
  <c r="AD83" i="16" s="1"/>
  <c r="E63" i="16"/>
  <c r="F63" i="16" s="1"/>
  <c r="AD82" i="16" s="1"/>
  <c r="E62" i="16"/>
  <c r="AC96" i="16"/>
  <c r="AC97" i="16"/>
  <c r="AC98" i="16"/>
  <c r="AC99" i="16"/>
  <c r="AC100" i="16"/>
  <c r="AC101" i="16"/>
  <c r="AC95" i="16"/>
  <c r="AC56" i="16"/>
  <c r="AE45" i="16"/>
  <c r="AE44" i="16"/>
  <c r="AE43" i="16"/>
  <c r="AE42" i="16"/>
  <c r="AD42" i="16"/>
  <c r="AD43" i="16"/>
  <c r="AD44" i="16"/>
  <c r="AD45" i="16"/>
  <c r="AD46" i="16"/>
  <c r="AG46" i="16" s="1"/>
  <c r="AD47" i="16"/>
  <c r="AG47" i="16" s="1"/>
  <c r="AD48" i="16"/>
  <c r="AH48" i="16" s="1"/>
  <c r="AD49" i="16"/>
  <c r="AG49" i="16" s="1"/>
  <c r="AD50" i="16"/>
  <c r="AG50" i="16" s="1"/>
  <c r="AD51" i="16"/>
  <c r="AG51" i="16" s="1"/>
  <c r="AC43" i="16"/>
  <c r="AC44" i="16"/>
  <c r="AC45" i="16"/>
  <c r="AC46" i="16"/>
  <c r="AC47" i="16"/>
  <c r="AC48" i="16"/>
  <c r="AC49" i="16"/>
  <c r="AC50" i="16"/>
  <c r="AC51" i="16"/>
  <c r="AC42" i="16"/>
  <c r="AC30" i="16"/>
  <c r="AK43" i="16" s="1"/>
  <c r="AC59" i="16" s="1"/>
  <c r="AC31" i="16"/>
  <c r="AK44" i="16" s="1"/>
  <c r="AC60" i="16" s="1"/>
  <c r="AC32" i="16"/>
  <c r="AK45" i="16" s="1"/>
  <c r="AC61" i="16" s="1"/>
  <c r="AC33" i="16"/>
  <c r="AK46" i="16" s="1"/>
  <c r="AC62" i="16" s="1"/>
  <c r="AC34" i="16"/>
  <c r="AK47" i="16" s="1"/>
  <c r="AC63" i="16" s="1"/>
  <c r="AC35" i="16"/>
  <c r="AK48" i="16" s="1"/>
  <c r="AC64" i="16" s="1"/>
  <c r="AC36" i="16"/>
  <c r="AK49" i="16" s="1"/>
  <c r="AC65" i="16" s="1"/>
  <c r="AC28" i="16"/>
  <c r="AK42" i="16" s="1"/>
  <c r="AC58" i="16" s="1"/>
  <c r="F62" i="16" l="1"/>
  <c r="AD81" i="16" s="1"/>
  <c r="AF82" i="16"/>
  <c r="AG82" i="16"/>
  <c r="AF88" i="16"/>
  <c r="AG88" i="16"/>
  <c r="AF83" i="16"/>
  <c r="AG83" i="16"/>
  <c r="AG84" i="16"/>
  <c r="AF84" i="16"/>
  <c r="AG85" i="16"/>
  <c r="AF85" i="16"/>
  <c r="AG43" i="16"/>
  <c r="AG45" i="16"/>
  <c r="AG42" i="16"/>
  <c r="AH50" i="16"/>
  <c r="AH49" i="16"/>
  <c r="AH47" i="16"/>
  <c r="AH51" i="16"/>
  <c r="AH46" i="16"/>
  <c r="AG48" i="16"/>
  <c r="AD52" i="16"/>
  <c r="AG44" i="16"/>
  <c r="O16" i="16"/>
  <c r="P16" i="16"/>
  <c r="AD22" i="16" s="1"/>
  <c r="AE34" i="16" s="1"/>
  <c r="N16" i="16"/>
  <c r="K43" i="16"/>
  <c r="L43" i="16"/>
  <c r="M43" i="16"/>
  <c r="N43" i="16"/>
  <c r="O43" i="16"/>
  <c r="P43" i="16"/>
  <c r="K42" i="16"/>
  <c r="L42" i="16"/>
  <c r="M42" i="16"/>
  <c r="N42" i="16"/>
  <c r="O42" i="16"/>
  <c r="P42" i="16"/>
  <c r="L41" i="16"/>
  <c r="N41" i="16"/>
  <c r="O41" i="16"/>
  <c r="P41" i="16"/>
  <c r="L40" i="16"/>
  <c r="N40" i="16"/>
  <c r="O40" i="16"/>
  <c r="P40" i="16"/>
  <c r="L39" i="16"/>
  <c r="N39" i="16"/>
  <c r="O39" i="16"/>
  <c r="P39" i="16"/>
  <c r="L38" i="16"/>
  <c r="N38" i="16"/>
  <c r="O38" i="16"/>
  <c r="P38" i="16"/>
  <c r="L37" i="16"/>
  <c r="N37" i="16"/>
  <c r="O37" i="16"/>
  <c r="P37" i="16"/>
  <c r="L36" i="16"/>
  <c r="N36" i="16"/>
  <c r="O36" i="16"/>
  <c r="P36" i="16"/>
  <c r="L35" i="16"/>
  <c r="N35" i="16"/>
  <c r="O35" i="16"/>
  <c r="P35" i="16"/>
  <c r="L34" i="16"/>
  <c r="N34" i="16"/>
  <c r="O34" i="16"/>
  <c r="P34" i="16"/>
  <c r="L33" i="16"/>
  <c r="N33" i="16"/>
  <c r="O33" i="16"/>
  <c r="P33" i="16"/>
  <c r="L32" i="16"/>
  <c r="N32" i="16"/>
  <c r="O32" i="16"/>
  <c r="P32" i="16"/>
  <c r="L31" i="16"/>
  <c r="N31" i="16"/>
  <c r="O31" i="16"/>
  <c r="P31" i="16"/>
  <c r="L30" i="16"/>
  <c r="N30" i="16"/>
  <c r="O30" i="16"/>
  <c r="P30" i="16"/>
  <c r="L29" i="16"/>
  <c r="N29" i="16"/>
  <c r="O29" i="16"/>
  <c r="P29" i="16"/>
  <c r="K28" i="16"/>
  <c r="L28" i="16"/>
  <c r="N28" i="16"/>
  <c r="O28" i="16"/>
  <c r="P28" i="16"/>
  <c r="K27" i="16"/>
  <c r="L27" i="16"/>
  <c r="M27" i="16"/>
  <c r="N27" i="16"/>
  <c r="O27" i="16"/>
  <c r="P27" i="16"/>
  <c r="K26" i="16"/>
  <c r="L26" i="16"/>
  <c r="M26" i="16"/>
  <c r="N26" i="16"/>
  <c r="O26" i="16"/>
  <c r="P26" i="16"/>
  <c r="L25" i="16"/>
  <c r="N25" i="16"/>
  <c r="O25" i="16"/>
  <c r="P25" i="16"/>
  <c r="K24" i="16"/>
  <c r="L24" i="16"/>
  <c r="M24" i="16"/>
  <c r="N24" i="16"/>
  <c r="O24" i="16"/>
  <c r="P24" i="16"/>
  <c r="K23" i="16"/>
  <c r="L23" i="16"/>
  <c r="M23" i="16"/>
  <c r="N23" i="16"/>
  <c r="O23" i="16"/>
  <c r="P23" i="16"/>
  <c r="L22" i="16"/>
  <c r="N22" i="16"/>
  <c r="O22" i="16"/>
  <c r="P22" i="16"/>
  <c r="K21" i="16"/>
  <c r="L21" i="16"/>
  <c r="M21" i="16"/>
  <c r="N21" i="16"/>
  <c r="O21" i="16"/>
  <c r="P21" i="16"/>
  <c r="L20" i="16"/>
  <c r="N20" i="16"/>
  <c r="O20" i="16"/>
  <c r="P20" i="16"/>
  <c r="K19" i="16"/>
  <c r="L19" i="16"/>
  <c r="M19" i="16"/>
  <c r="N19" i="16"/>
  <c r="O19" i="16"/>
  <c r="P19" i="16"/>
  <c r="L18" i="16"/>
  <c r="N18" i="16"/>
  <c r="O18" i="16"/>
  <c r="P18" i="16"/>
  <c r="L17" i="16"/>
  <c r="N17" i="16"/>
  <c r="O17" i="16"/>
  <c r="P17" i="16"/>
  <c r="L16" i="16"/>
  <c r="J30" i="19"/>
  <c r="J15" i="19"/>
  <c r="J14" i="19"/>
  <c r="J22" i="19"/>
  <c r="J21" i="19"/>
  <c r="J24" i="19" s="1"/>
  <c r="G27" i="19"/>
  <c r="G30" i="19"/>
  <c r="G31" i="19"/>
  <c r="G32" i="19"/>
  <c r="G33" i="19"/>
  <c r="G36" i="19"/>
  <c r="G37" i="19"/>
  <c r="G38" i="19"/>
  <c r="G39" i="19"/>
  <c r="G40" i="19"/>
  <c r="G41" i="19"/>
  <c r="G42" i="19"/>
  <c r="G45" i="19"/>
  <c r="G46" i="19"/>
  <c r="G47" i="19"/>
  <c r="G48" i="19"/>
  <c r="G49" i="19"/>
  <c r="G50" i="19"/>
  <c r="G51" i="19"/>
  <c r="G52" i="19"/>
  <c r="G53" i="19"/>
  <c r="G54" i="19"/>
  <c r="G57" i="19"/>
  <c r="G60" i="19"/>
  <c r="G63" i="19"/>
  <c r="G66" i="19"/>
  <c r="G69" i="19"/>
  <c r="G72" i="19"/>
  <c r="G75" i="19"/>
  <c r="G78" i="19"/>
  <c r="G81" i="19"/>
  <c r="G84" i="19"/>
  <c r="G87" i="19"/>
  <c r="G90" i="19"/>
  <c r="G93" i="19"/>
  <c r="G94" i="19"/>
  <c r="G95" i="19"/>
  <c r="G96" i="19"/>
  <c r="G97" i="19"/>
  <c r="G98" i="19"/>
  <c r="G24" i="19"/>
  <c r="G25" i="19"/>
  <c r="G26" i="19"/>
  <c r="G21" i="19"/>
  <c r="G18" i="19"/>
  <c r="G15" i="19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AD24" i="16" s="1"/>
  <c r="AE36" i="16" s="1"/>
  <c r="E109" i="15"/>
  <c r="F109" i="15" s="1"/>
  <c r="C110" i="15"/>
  <c r="E110" i="15" s="1"/>
  <c r="F110" i="15" s="1"/>
  <c r="C111" i="15"/>
  <c r="E111" i="15" s="1"/>
  <c r="F111" i="15" s="1"/>
  <c r="C112" i="15"/>
  <c r="E112" i="15" s="1"/>
  <c r="F112" i="15" s="1"/>
  <c r="C113" i="15"/>
  <c r="E113" i="15" s="1"/>
  <c r="F113" i="15" s="1"/>
  <c r="C114" i="15"/>
  <c r="E114" i="15" s="1"/>
  <c r="F114" i="15" s="1"/>
  <c r="C115" i="15"/>
  <c r="E115" i="15" s="1"/>
  <c r="F115" i="15" s="1"/>
  <c r="C116" i="15"/>
  <c r="E116" i="15" s="1"/>
  <c r="F116" i="15" s="1"/>
  <c r="C117" i="15"/>
  <c r="E117" i="15" s="1"/>
  <c r="F117" i="15" s="1"/>
  <c r="C118" i="15"/>
  <c r="E118" i="15" s="1"/>
  <c r="F118" i="15" s="1"/>
  <c r="C119" i="15"/>
  <c r="E119" i="15" s="1"/>
  <c r="F119" i="15" s="1"/>
  <c r="C120" i="15"/>
  <c r="E120" i="15" s="1"/>
  <c r="F120" i="15" s="1"/>
  <c r="C121" i="15"/>
  <c r="E121" i="15" s="1"/>
  <c r="C122" i="15"/>
  <c r="E122" i="15" s="1"/>
  <c r="F122" i="15" s="1"/>
  <c r="C123" i="15"/>
  <c r="E123" i="15" s="1"/>
  <c r="F123" i="15" s="1"/>
  <c r="C124" i="15"/>
  <c r="E124" i="15" s="1"/>
  <c r="F124" i="15" s="1"/>
  <c r="C125" i="15"/>
  <c r="E125" i="15" s="1"/>
  <c r="F125" i="15" s="1"/>
  <c r="C126" i="15"/>
  <c r="E126" i="15" s="1"/>
  <c r="F126" i="15" s="1"/>
  <c r="C127" i="15"/>
  <c r="E127" i="15" s="1"/>
  <c r="F127" i="15" s="1"/>
  <c r="C128" i="15"/>
  <c r="E128" i="15" s="1"/>
  <c r="F128" i="15" s="1"/>
  <c r="C129" i="15"/>
  <c r="E129" i="15" s="1"/>
  <c r="F129" i="15" s="1"/>
  <c r="C130" i="15"/>
  <c r="E130" i="15" s="1"/>
  <c r="F130" i="15" s="1"/>
  <c r="C131" i="15"/>
  <c r="E131" i="15" s="1"/>
  <c r="F131" i="15" s="1"/>
  <c r="C132" i="15"/>
  <c r="E132" i="15" s="1"/>
  <c r="F132" i="15" s="1"/>
  <c r="C133" i="15"/>
  <c r="E133" i="15" s="1"/>
  <c r="F133" i="15" s="1"/>
  <c r="C134" i="15"/>
  <c r="E134" i="15" s="1"/>
  <c r="F134" i="15" s="1"/>
  <c r="C135" i="15"/>
  <c r="E135" i="15" s="1"/>
  <c r="F135" i="15" s="1"/>
  <c r="C136" i="15"/>
  <c r="E136" i="15" s="1"/>
  <c r="F136" i="15" s="1"/>
  <c r="C137" i="15"/>
  <c r="E137" i="15" s="1"/>
  <c r="F137" i="15" s="1"/>
  <c r="C138" i="15"/>
  <c r="E138" i="15" s="1"/>
  <c r="F138" i="15" s="1"/>
  <c r="C109" i="15"/>
  <c r="K18" i="15"/>
  <c r="AM143" i="15"/>
  <c r="AN143" i="15"/>
  <c r="AL143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75" i="15"/>
  <c r="AM138" i="15" s="1"/>
  <c r="C67" i="15"/>
  <c r="B67" i="15"/>
  <c r="AT126" i="15"/>
  <c r="AS126" i="15"/>
  <c r="AR126" i="15"/>
  <c r="AK128" i="15"/>
  <c r="AK145" i="15" s="1"/>
  <c r="AK129" i="15"/>
  <c r="AK146" i="15" s="1"/>
  <c r="AK130" i="15"/>
  <c r="AK147" i="15" s="1"/>
  <c r="AK127" i="15"/>
  <c r="AK144" i="15" s="1"/>
  <c r="D57" i="15"/>
  <c r="D58" i="15"/>
  <c r="B59" i="15"/>
  <c r="C59" i="15"/>
  <c r="B56" i="15"/>
  <c r="D56" i="15" s="1"/>
  <c r="AF81" i="16" l="1"/>
  <c r="AG81" i="16"/>
  <c r="AD112" i="16"/>
  <c r="AD114" i="16"/>
  <c r="AG52" i="16"/>
  <c r="AL49" i="16"/>
  <c r="AD65" i="16" s="1"/>
  <c r="AF36" i="16"/>
  <c r="AF34" i="16"/>
  <c r="AL47" i="16"/>
  <c r="AD63" i="16" s="1"/>
  <c r="F92" i="19"/>
  <c r="F86" i="19"/>
  <c r="F80" i="19"/>
  <c r="F74" i="19"/>
  <c r="F68" i="19"/>
  <c r="F62" i="19"/>
  <c r="F56" i="19"/>
  <c r="G56" i="19" s="1"/>
  <c r="M29" i="16" s="1"/>
  <c r="F35" i="19"/>
  <c r="F23" i="19"/>
  <c r="G23" i="19" s="1"/>
  <c r="M18" i="16" s="1"/>
  <c r="F89" i="19"/>
  <c r="F83" i="19"/>
  <c r="F77" i="19"/>
  <c r="F71" i="19"/>
  <c r="F65" i="19"/>
  <c r="F59" i="19"/>
  <c r="F44" i="19"/>
  <c r="F29" i="19"/>
  <c r="F20" i="19"/>
  <c r="F88" i="19"/>
  <c r="F82" i="19"/>
  <c r="F76" i="19"/>
  <c r="F70" i="19"/>
  <c r="F64" i="19"/>
  <c r="F58" i="19"/>
  <c r="F43" i="19"/>
  <c r="F28" i="19"/>
  <c r="F19" i="19"/>
  <c r="F91" i="19"/>
  <c r="F85" i="19"/>
  <c r="F79" i="19"/>
  <c r="F73" i="19"/>
  <c r="F67" i="19"/>
  <c r="F61" i="19"/>
  <c r="F55" i="19"/>
  <c r="F34" i="19"/>
  <c r="F22" i="19"/>
  <c r="F16" i="19"/>
  <c r="J18" i="19"/>
  <c r="E22" i="19"/>
  <c r="E61" i="19"/>
  <c r="E70" i="19"/>
  <c r="G22" i="19"/>
  <c r="G61" i="19"/>
  <c r="G70" i="19"/>
  <c r="E92" i="19"/>
  <c r="E59" i="19"/>
  <c r="K30" i="16" s="1"/>
  <c r="E23" i="19"/>
  <c r="K18" i="16" s="1"/>
  <c r="E56" i="19"/>
  <c r="K29" i="16" s="1"/>
  <c r="E35" i="19"/>
  <c r="K22" i="16" s="1"/>
  <c r="E29" i="19"/>
  <c r="K20" i="16" s="1"/>
  <c r="E20" i="19"/>
  <c r="K17" i="16" s="1"/>
  <c r="E76" i="19"/>
  <c r="G76" i="19" s="1"/>
  <c r="E62" i="19"/>
  <c r="K31" i="16" s="1"/>
  <c r="E65" i="19"/>
  <c r="K32" i="16" s="1"/>
  <c r="E71" i="19"/>
  <c r="E74" i="19"/>
  <c r="K35" i="16" s="1"/>
  <c r="E77" i="19"/>
  <c r="K36" i="16" s="1"/>
  <c r="E83" i="19"/>
  <c r="K38" i="16" s="1"/>
  <c r="E86" i="19"/>
  <c r="E89" i="19"/>
  <c r="F75" i="15"/>
  <c r="AM137" i="15" s="1"/>
  <c r="D59" i="15"/>
  <c r="AN128" i="15"/>
  <c r="AL128" i="15"/>
  <c r="AM128" i="15"/>
  <c r="AJ59" i="15"/>
  <c r="AJ71" i="15" s="1"/>
  <c r="AJ60" i="15"/>
  <c r="AJ72" i="15" s="1"/>
  <c r="AJ61" i="15"/>
  <c r="AJ73" i="15" s="1"/>
  <c r="AJ58" i="15"/>
  <c r="AJ70" i="15" s="1"/>
  <c r="G92" i="19" l="1"/>
  <c r="M41" i="16" s="1"/>
  <c r="K41" i="16"/>
  <c r="G86" i="19"/>
  <c r="M39" i="16" s="1"/>
  <c r="K39" i="16"/>
  <c r="G71" i="19"/>
  <c r="M34" i="16" s="1"/>
  <c r="K34" i="16"/>
  <c r="G89" i="19"/>
  <c r="M40" i="16" s="1"/>
  <c r="K40" i="16"/>
  <c r="G77" i="19"/>
  <c r="M36" i="16" s="1"/>
  <c r="AD97" i="16"/>
  <c r="AE97" i="16"/>
  <c r="AF97" i="16"/>
  <c r="AE101" i="16"/>
  <c r="AF101" i="16"/>
  <c r="AD101" i="16"/>
  <c r="G67" i="19"/>
  <c r="G82" i="19"/>
  <c r="G79" i="19"/>
  <c r="G58" i="19"/>
  <c r="E67" i="19"/>
  <c r="E19" i="19"/>
  <c r="E58" i="19"/>
  <c r="E28" i="19"/>
  <c r="E73" i="19"/>
  <c r="G73" i="19" s="1"/>
  <c r="E43" i="19"/>
  <c r="J35" i="19"/>
  <c r="G83" i="19"/>
  <c r="M38" i="16" s="1"/>
  <c r="E88" i="19"/>
  <c r="G88" i="19" s="1"/>
  <c r="E64" i="19"/>
  <c r="G64" i="19" s="1"/>
  <c r="E16" i="19"/>
  <c r="G16" i="19" s="1"/>
  <c r="E91" i="19"/>
  <c r="G91" i="19" s="1"/>
  <c r="E55" i="19"/>
  <c r="G55" i="19" s="1"/>
  <c r="G28" i="19"/>
  <c r="J36" i="19"/>
  <c r="E80" i="19"/>
  <c r="E68" i="19"/>
  <c r="E85" i="19"/>
  <c r="G85" i="19" s="1"/>
  <c r="E17" i="19"/>
  <c r="K16" i="16" s="1"/>
  <c r="E44" i="19"/>
  <c r="E82" i="19"/>
  <c r="E79" i="19"/>
  <c r="E34" i="19"/>
  <c r="G34" i="19" s="1"/>
  <c r="G43" i="19"/>
  <c r="G65" i="19"/>
  <c r="M32" i="16" s="1"/>
  <c r="AD111" i="16" s="1"/>
  <c r="G62" i="19"/>
  <c r="M31" i="16" s="1"/>
  <c r="G20" i="19"/>
  <c r="G44" i="19"/>
  <c r="M25" i="16" s="1"/>
  <c r="G29" i="19"/>
  <c r="M20" i="16" s="1"/>
  <c r="G59" i="19"/>
  <c r="M30" i="16" s="1"/>
  <c r="G74" i="19"/>
  <c r="M35" i="16" s="1"/>
  <c r="G35" i="19"/>
  <c r="M22" i="16" s="1"/>
  <c r="P41" i="13"/>
  <c r="P42" i="13"/>
  <c r="P13" i="13"/>
  <c r="P40" i="13" s="1"/>
  <c r="C146" i="11"/>
  <c r="C142" i="11"/>
  <c r="C138" i="11"/>
  <c r="I138" i="11"/>
  <c r="J138" i="11" s="1"/>
  <c r="K138" i="11" s="1"/>
  <c r="L138" i="11" s="1"/>
  <c r="M138" i="11" s="1"/>
  <c r="N138" i="11" s="1"/>
  <c r="O138" i="11" s="1"/>
  <c r="P138" i="11" s="1"/>
  <c r="Q138" i="11" s="1"/>
  <c r="H100" i="11"/>
  <c r="H138" i="11"/>
  <c r="G138" i="11"/>
  <c r="AA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U137" i="11"/>
  <c r="V137" i="11"/>
  <c r="W137" i="11"/>
  <c r="X137" i="11"/>
  <c r="Y137" i="11"/>
  <c r="Z137" i="11"/>
  <c r="G137" i="11"/>
  <c r="C135" i="11"/>
  <c r="C134" i="11"/>
  <c r="C133" i="11"/>
  <c r="D133" i="11"/>
  <c r="C132" i="11"/>
  <c r="C99" i="11"/>
  <c r="B126" i="11"/>
  <c r="B128" i="11"/>
  <c r="B127" i="11"/>
  <c r="B125" i="11"/>
  <c r="B124" i="11"/>
  <c r="AC13" i="21"/>
  <c r="AD13" i="21"/>
  <c r="AE13" i="21"/>
  <c r="AF13" i="21"/>
  <c r="AB13" i="21"/>
  <c r="X13" i="21"/>
  <c r="Y13" i="21"/>
  <c r="Z13" i="21"/>
  <c r="AA13" i="21"/>
  <c r="W13" i="21"/>
  <c r="M13" i="21"/>
  <c r="N13" i="21"/>
  <c r="O13" i="21"/>
  <c r="P13" i="21"/>
  <c r="Q13" i="21"/>
  <c r="R13" i="21"/>
  <c r="S13" i="21"/>
  <c r="T13" i="21"/>
  <c r="U13" i="21"/>
  <c r="V13" i="21"/>
  <c r="L13" i="21"/>
  <c r="G68" i="19" l="1"/>
  <c r="M33" i="16" s="1"/>
  <c r="K33" i="16"/>
  <c r="G17" i="19"/>
  <c r="M16" i="16" s="1"/>
  <c r="AD21" i="16" s="1"/>
  <c r="AE33" i="16" s="1"/>
  <c r="J32" i="19"/>
  <c r="K32" i="19" s="1"/>
  <c r="K25" i="16"/>
  <c r="G80" i="19"/>
  <c r="M37" i="16" s="1"/>
  <c r="K37" i="16"/>
  <c r="J31" i="19"/>
  <c r="K31" i="19" s="1"/>
  <c r="G19" i="19"/>
  <c r="J34" i="19"/>
  <c r="K35" i="19" s="1"/>
  <c r="R138" i="11"/>
  <c r="S138" i="11" s="1"/>
  <c r="T138" i="11" s="1"/>
  <c r="U138" i="11" s="1"/>
  <c r="V138" i="11" s="1"/>
  <c r="W138" i="11" s="1"/>
  <c r="X138" i="11" s="1"/>
  <c r="Y138" i="11" s="1"/>
  <c r="Z138" i="11" s="1"/>
  <c r="AA138" i="11" s="1"/>
  <c r="C137" i="11"/>
  <c r="C139" i="11" s="1"/>
  <c r="R68" i="11"/>
  <c r="AL46" i="16" l="1"/>
  <c r="AD62" i="16" s="1"/>
  <c r="AF33" i="16"/>
  <c r="K36" i="19"/>
  <c r="C141" i="11"/>
  <c r="C143" i="11" s="1"/>
  <c r="C145" i="11"/>
  <c r="C147" i="11" s="1"/>
  <c r="T67" i="11"/>
  <c r="R67" i="11"/>
  <c r="I59" i="1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I58" i="11"/>
  <c r="G56" i="11"/>
  <c r="B120" i="11"/>
  <c r="B119" i="11"/>
  <c r="B118" i="11"/>
  <c r="B116" i="11"/>
  <c r="C116" i="11" s="1"/>
  <c r="D168" i="11"/>
  <c r="B168" i="11"/>
  <c r="D164" i="11"/>
  <c r="B164" i="11"/>
  <c r="K156" i="11"/>
  <c r="C128" i="11"/>
  <c r="C124" i="11"/>
  <c r="D57" i="11"/>
  <c r="A124" i="11"/>
  <c r="A119" i="11"/>
  <c r="A127" i="11" s="1"/>
  <c r="A120" i="11"/>
  <c r="A128" i="11" s="1"/>
  <c r="A118" i="11"/>
  <c r="A126" i="11" s="1"/>
  <c r="AE98" i="16" l="1"/>
  <c r="AF98" i="16"/>
  <c r="AD98" i="16"/>
  <c r="I77" i="11"/>
  <c r="I78" i="11" s="1"/>
  <c r="I79" i="11" s="1"/>
  <c r="I80" i="11" s="1"/>
  <c r="I81" i="11" s="1"/>
  <c r="I82" i="11" s="1"/>
  <c r="I83" i="11" s="1"/>
  <c r="I84" i="11" s="1"/>
  <c r="I85" i="11" s="1"/>
  <c r="I86" i="11" s="1"/>
  <c r="K54" i="11"/>
  <c r="B117" i="11"/>
  <c r="C117" i="11" s="1"/>
  <c r="C126" i="11"/>
  <c r="C119" i="11"/>
  <c r="C125" i="11"/>
  <c r="C127" i="11"/>
  <c r="C120" i="11"/>
  <c r="C118" i="11"/>
  <c r="C96" i="11" l="1"/>
  <c r="C97" i="11"/>
  <c r="F117" i="11"/>
  <c r="E117" i="11"/>
  <c r="G117" i="11" l="1"/>
  <c r="E119" i="11" s="1"/>
  <c r="C108" i="11" l="1"/>
  <c r="C168" i="11" s="1"/>
  <c r="C104" i="11"/>
  <c r="C164" i="11" s="1"/>
  <c r="G17" i="21"/>
  <c r="G18" i="21"/>
  <c r="I17" i="21"/>
  <c r="I18" i="21"/>
  <c r="I16" i="21"/>
  <c r="G16" i="21"/>
  <c r="AF12" i="21"/>
  <c r="AA12" i="21"/>
  <c r="N10" i="21"/>
  <c r="O10" i="21"/>
  <c r="P10" i="21"/>
  <c r="Q10" i="21" s="1"/>
  <c r="R10" i="21" s="1"/>
  <c r="S10" i="21" s="1"/>
  <c r="T10" i="21" s="1"/>
  <c r="U10" i="21" s="1"/>
  <c r="V10" i="21" s="1"/>
  <c r="W10" i="21" s="1"/>
  <c r="X10" i="21" s="1"/>
  <c r="Y10" i="21" s="1"/>
  <c r="Z10" i="21" s="1"/>
  <c r="AA10" i="21" s="1"/>
  <c r="AB10" i="21" s="1"/>
  <c r="AC10" i="21" s="1"/>
  <c r="AD10" i="21" s="1"/>
  <c r="AE10" i="21" s="1"/>
  <c r="AF10" i="21" s="1"/>
  <c r="M10" i="21"/>
  <c r="N9" i="21"/>
  <c r="O9" i="21" s="1"/>
  <c r="P9" i="21" s="1"/>
  <c r="Q9" i="21" s="1"/>
  <c r="R9" i="21" s="1"/>
  <c r="S9" i="21" s="1"/>
  <c r="T9" i="21" s="1"/>
  <c r="U9" i="21" s="1"/>
  <c r="V9" i="21" s="1"/>
  <c r="W9" i="21" s="1"/>
  <c r="X9" i="21" s="1"/>
  <c r="Y9" i="21" s="1"/>
  <c r="Z9" i="21" s="1"/>
  <c r="AA9" i="21" s="1"/>
  <c r="AB9" i="21" s="1"/>
  <c r="AC9" i="21" s="1"/>
  <c r="AD9" i="21" s="1"/>
  <c r="AE9" i="21" s="1"/>
  <c r="AF9" i="21" s="1"/>
  <c r="M9" i="21"/>
  <c r="V12" i="21"/>
  <c r="N8" i="21"/>
  <c r="O8" i="21" s="1"/>
  <c r="P8" i="21" s="1"/>
  <c r="Q8" i="21" s="1"/>
  <c r="R8" i="21" s="1"/>
  <c r="S8" i="21" s="1"/>
  <c r="T8" i="21" s="1"/>
  <c r="U8" i="21" s="1"/>
  <c r="V8" i="21" s="1"/>
  <c r="W8" i="21" s="1"/>
  <c r="X8" i="21" s="1"/>
  <c r="Y8" i="21" s="1"/>
  <c r="Z8" i="21" s="1"/>
  <c r="AA8" i="21" s="1"/>
  <c r="AB8" i="21" s="1"/>
  <c r="AC8" i="21" s="1"/>
  <c r="AD8" i="21" s="1"/>
  <c r="AE8" i="21" s="1"/>
  <c r="AF8" i="21" s="1"/>
  <c r="M8" i="21"/>
  <c r="L9" i="21"/>
  <c r="L10" i="21"/>
  <c r="L8" i="21"/>
  <c r="J9" i="21"/>
  <c r="J10" i="21"/>
  <c r="R66" i="11"/>
  <c r="I9" i="21"/>
  <c r="I10" i="21"/>
  <c r="I8" i="21"/>
  <c r="A18" i="21"/>
  <c r="AC31" i="15" l="1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30" i="15"/>
  <c r="AC21" i="15"/>
  <c r="AC22" i="15"/>
  <c r="AC23" i="15"/>
  <c r="AC24" i="15"/>
  <c r="AC25" i="15"/>
  <c r="AC26" i="15"/>
  <c r="AC27" i="15"/>
  <c r="AC28" i="15"/>
  <c r="AC29" i="15"/>
  <c r="AC2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19" i="15"/>
  <c r="O20" i="15"/>
  <c r="O21" i="15"/>
  <c r="O22" i="15"/>
  <c r="O23" i="15"/>
  <c r="O24" i="15"/>
  <c r="O25" i="15"/>
  <c r="O26" i="15"/>
  <c r="O27" i="15"/>
  <c r="O28" i="15"/>
  <c r="O29" i="15"/>
  <c r="O18" i="15"/>
  <c r="AL44" i="15" l="1"/>
  <c r="AL108" i="15"/>
  <c r="AL96" i="15"/>
  <c r="AL84" i="15"/>
  <c r="D160" i="11"/>
  <c r="B160" i="11"/>
  <c r="B155" i="11"/>
  <c r="C100" i="11"/>
  <c r="C160" i="11" s="1"/>
  <c r="C94" i="11"/>
  <c r="C157" i="11"/>
  <c r="AC15" i="11"/>
  <c r="C155" i="11" l="1"/>
  <c r="C167" i="11" s="1"/>
  <c r="C169" i="11" s="1"/>
  <c r="C163" i="11"/>
  <c r="C165" i="11" s="1"/>
  <c r="D16" i="16" l="1"/>
  <c r="AD18" i="16" s="1"/>
  <c r="G16" i="16"/>
  <c r="AD19" i="16" s="1"/>
  <c r="J16" i="16"/>
  <c r="AD20" i="16" s="1"/>
  <c r="S16" i="16"/>
  <c r="AD23" i="16" s="1"/>
  <c r="AA16" i="16"/>
  <c r="AD16" i="16" s="1"/>
  <c r="AE28" i="16" s="1"/>
  <c r="D17" i="16"/>
  <c r="G17" i="16"/>
  <c r="J17" i="16"/>
  <c r="S17" i="16"/>
  <c r="AA17" i="16"/>
  <c r="D18" i="16"/>
  <c r="G18" i="16"/>
  <c r="J18" i="16"/>
  <c r="S18" i="16"/>
  <c r="AA18" i="16"/>
  <c r="D19" i="16"/>
  <c r="G19" i="16"/>
  <c r="J19" i="16"/>
  <c r="S19" i="16"/>
  <c r="AA19" i="16"/>
  <c r="D20" i="16"/>
  <c r="G20" i="16"/>
  <c r="J20" i="16"/>
  <c r="S20" i="16"/>
  <c r="AA20" i="16"/>
  <c r="D21" i="16"/>
  <c r="G21" i="16"/>
  <c r="J21" i="16"/>
  <c r="S21" i="16"/>
  <c r="AA21" i="16"/>
  <c r="D22" i="16"/>
  <c r="G22" i="16"/>
  <c r="J22" i="16"/>
  <c r="S22" i="16"/>
  <c r="AA22" i="16"/>
  <c r="D23" i="16"/>
  <c r="G23" i="16"/>
  <c r="J23" i="16"/>
  <c r="S23" i="16"/>
  <c r="AA23" i="16"/>
  <c r="D24" i="16"/>
  <c r="G24" i="16"/>
  <c r="J24" i="16"/>
  <c r="S24" i="16"/>
  <c r="AA24" i="16"/>
  <c r="D25" i="16"/>
  <c r="G25" i="16"/>
  <c r="J25" i="16"/>
  <c r="S25" i="16"/>
  <c r="AA25" i="16"/>
  <c r="D26" i="16"/>
  <c r="G26" i="16"/>
  <c r="J26" i="16"/>
  <c r="S26" i="16"/>
  <c r="AA26" i="16"/>
  <c r="D27" i="16"/>
  <c r="G27" i="16"/>
  <c r="J27" i="16"/>
  <c r="S27" i="16"/>
  <c r="AA27" i="16"/>
  <c r="D28" i="16"/>
  <c r="G28" i="16"/>
  <c r="J28" i="16"/>
  <c r="S28" i="16"/>
  <c r="AA28" i="16"/>
  <c r="D29" i="16"/>
  <c r="G29" i="16"/>
  <c r="J29" i="16"/>
  <c r="S29" i="16"/>
  <c r="AA29" i="16"/>
  <c r="D30" i="16"/>
  <c r="G30" i="16"/>
  <c r="J30" i="16"/>
  <c r="S30" i="16"/>
  <c r="AA30" i="16"/>
  <c r="D31" i="16"/>
  <c r="G31" i="16"/>
  <c r="J31" i="16"/>
  <c r="S31" i="16"/>
  <c r="AA31" i="16"/>
  <c r="D32" i="16"/>
  <c r="G32" i="16"/>
  <c r="J32" i="16"/>
  <c r="S32" i="16"/>
  <c r="AA32" i="16"/>
  <c r="D33" i="16"/>
  <c r="G33" i="16"/>
  <c r="J33" i="16"/>
  <c r="S33" i="16"/>
  <c r="AA33" i="16"/>
  <c r="D34" i="16"/>
  <c r="G34" i="16"/>
  <c r="J34" i="16"/>
  <c r="S34" i="16"/>
  <c r="AA34" i="16"/>
  <c r="D35" i="16"/>
  <c r="G35" i="16"/>
  <c r="J35" i="16"/>
  <c r="S35" i="16"/>
  <c r="AA35" i="16"/>
  <c r="D36" i="16"/>
  <c r="G36" i="16"/>
  <c r="J36" i="16"/>
  <c r="S36" i="16"/>
  <c r="AA36" i="16"/>
  <c r="D37" i="16"/>
  <c r="G37" i="16"/>
  <c r="J37" i="16"/>
  <c r="S37" i="16"/>
  <c r="AA37" i="16"/>
  <c r="D38" i="16"/>
  <c r="G38" i="16"/>
  <c r="J38" i="16"/>
  <c r="S38" i="16"/>
  <c r="AA38" i="16"/>
  <c r="D39" i="16"/>
  <c r="G39" i="16"/>
  <c r="J39" i="16"/>
  <c r="S39" i="16"/>
  <c r="AA39" i="16"/>
  <c r="D40" i="16"/>
  <c r="G40" i="16"/>
  <c r="J40" i="16"/>
  <c r="S40" i="16"/>
  <c r="AA40" i="16"/>
  <c r="D41" i="16"/>
  <c r="G41" i="16"/>
  <c r="J41" i="16"/>
  <c r="S41" i="16"/>
  <c r="AA41" i="16"/>
  <c r="D42" i="16"/>
  <c r="G42" i="16"/>
  <c r="J42" i="16"/>
  <c r="S42" i="16"/>
  <c r="AA42" i="16"/>
  <c r="D43" i="16"/>
  <c r="G43" i="16"/>
  <c r="J43" i="16"/>
  <c r="S43" i="16"/>
  <c r="AA43" i="16"/>
  <c r="Y24" i="15"/>
  <c r="Y33" i="15"/>
  <c r="Y21" i="15"/>
  <c r="Z21" i="15"/>
  <c r="AA21" i="15"/>
  <c r="AB21" i="15"/>
  <c r="Y22" i="15"/>
  <c r="Z22" i="15"/>
  <c r="AA22" i="15"/>
  <c r="AB22" i="15"/>
  <c r="Y23" i="15"/>
  <c r="Z23" i="15"/>
  <c r="AA23" i="15"/>
  <c r="AB23" i="15"/>
  <c r="Z24" i="15"/>
  <c r="AA24" i="15"/>
  <c r="AB24" i="15"/>
  <c r="Y25" i="15"/>
  <c r="AA25" i="15"/>
  <c r="AB25" i="15"/>
  <c r="Y26" i="15"/>
  <c r="Z26" i="15"/>
  <c r="AA26" i="15"/>
  <c r="AB26" i="15"/>
  <c r="Y27" i="15"/>
  <c r="Z27" i="15"/>
  <c r="AA27" i="15"/>
  <c r="AB27" i="15"/>
  <c r="Y28" i="15"/>
  <c r="Z28" i="15"/>
  <c r="AA28" i="15"/>
  <c r="AB28" i="15"/>
  <c r="Y29" i="15"/>
  <c r="Z29" i="15"/>
  <c r="AA29" i="15"/>
  <c r="AB29" i="15"/>
  <c r="Z30" i="15"/>
  <c r="AB30" i="15"/>
  <c r="Y31" i="15"/>
  <c r="Z31" i="15"/>
  <c r="AA31" i="15"/>
  <c r="AB31" i="15"/>
  <c r="Y32" i="15"/>
  <c r="Z32" i="15"/>
  <c r="AA32" i="15"/>
  <c r="AB32" i="15"/>
  <c r="AA33" i="15"/>
  <c r="AB33" i="15"/>
  <c r="Y34" i="15"/>
  <c r="Z34" i="15"/>
  <c r="AA34" i="15"/>
  <c r="AB34" i="15"/>
  <c r="Y35" i="15"/>
  <c r="Z35" i="15"/>
  <c r="AA35" i="15"/>
  <c r="AB35" i="15"/>
  <c r="Y36" i="15"/>
  <c r="Z36" i="15"/>
  <c r="AA36" i="15"/>
  <c r="AB36" i="15"/>
  <c r="Y37" i="15"/>
  <c r="Z37" i="15"/>
  <c r="AA37" i="15"/>
  <c r="AB37" i="15"/>
  <c r="Y38" i="15"/>
  <c r="Z38" i="15"/>
  <c r="AA38" i="15"/>
  <c r="AB38" i="15"/>
  <c r="Y39" i="15"/>
  <c r="Z39" i="15"/>
  <c r="AA39" i="15"/>
  <c r="AB39" i="15"/>
  <c r="Y40" i="15"/>
  <c r="Z40" i="15"/>
  <c r="AA40" i="15"/>
  <c r="AB40" i="15"/>
  <c r="Y41" i="15"/>
  <c r="Z41" i="15"/>
  <c r="AA41" i="15"/>
  <c r="AB41" i="15"/>
  <c r="Y42" i="15"/>
  <c r="Z42" i="15"/>
  <c r="AA42" i="15"/>
  <c r="AB42" i="15"/>
  <c r="Y43" i="15"/>
  <c r="Z43" i="15"/>
  <c r="AA43" i="15"/>
  <c r="AB43" i="15"/>
  <c r="Y44" i="15"/>
  <c r="Z44" i="15"/>
  <c r="AA44" i="15"/>
  <c r="AB44" i="15"/>
  <c r="Y45" i="15"/>
  <c r="Z45" i="15"/>
  <c r="AA45" i="15"/>
  <c r="AB45" i="15"/>
  <c r="Y46" i="15"/>
  <c r="Z46" i="15"/>
  <c r="AA46" i="15"/>
  <c r="AB46" i="15"/>
  <c r="Y19" i="15"/>
  <c r="Z19" i="15"/>
  <c r="AA19" i="15"/>
  <c r="AB19" i="15"/>
  <c r="Y20" i="15"/>
  <c r="Z20" i="15"/>
  <c r="AA20" i="15"/>
  <c r="AB20" i="15"/>
  <c r="Z16" i="15"/>
  <c r="AE16" i="15" s="1"/>
  <c r="AL154" i="15" s="1"/>
  <c r="AA16" i="15"/>
  <c r="AF16" i="15" s="1"/>
  <c r="AL155" i="15" s="1"/>
  <c r="AB16" i="15"/>
  <c r="AG16" i="15" s="1"/>
  <c r="AL156" i="15" s="1"/>
  <c r="Y16" i="15"/>
  <c r="AD16" i="15" s="1"/>
  <c r="AL153" i="15" s="1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V36" i="15" s="1"/>
  <c r="S37" i="15"/>
  <c r="S38" i="15"/>
  <c r="S39" i="15"/>
  <c r="S40" i="15"/>
  <c r="S41" i="15"/>
  <c r="S42" i="15"/>
  <c r="S43" i="15"/>
  <c r="S44" i="15"/>
  <c r="S45" i="15"/>
  <c r="S46" i="15"/>
  <c r="S17" i="15"/>
  <c r="K16" i="15"/>
  <c r="L16" i="15"/>
  <c r="M16" i="15"/>
  <c r="N16" i="15"/>
  <c r="J18" i="15"/>
  <c r="L18" i="15"/>
  <c r="M18" i="15"/>
  <c r="N18" i="15"/>
  <c r="J19" i="15"/>
  <c r="R19" i="15" s="1"/>
  <c r="K19" i="15"/>
  <c r="L19" i="15"/>
  <c r="M19" i="15"/>
  <c r="N19" i="15"/>
  <c r="J20" i="15"/>
  <c r="R20" i="15" s="1"/>
  <c r="K20" i="15"/>
  <c r="L20" i="15"/>
  <c r="M20" i="15"/>
  <c r="N20" i="15"/>
  <c r="J21" i="15"/>
  <c r="R21" i="15" s="1"/>
  <c r="K21" i="15"/>
  <c r="L21" i="15"/>
  <c r="M21" i="15"/>
  <c r="N21" i="15"/>
  <c r="J22" i="15"/>
  <c r="R22" i="15" s="1"/>
  <c r="K22" i="15"/>
  <c r="L22" i="15"/>
  <c r="M22" i="15"/>
  <c r="N22" i="15"/>
  <c r="J23" i="15"/>
  <c r="R23" i="15" s="1"/>
  <c r="K23" i="15"/>
  <c r="L23" i="15"/>
  <c r="M23" i="15"/>
  <c r="N23" i="15"/>
  <c r="J24" i="15"/>
  <c r="R24" i="15" s="1"/>
  <c r="K24" i="15"/>
  <c r="L24" i="15"/>
  <c r="M24" i="15"/>
  <c r="N24" i="15"/>
  <c r="J25" i="15"/>
  <c r="R25" i="15" s="1"/>
  <c r="K25" i="15"/>
  <c r="L25" i="15"/>
  <c r="M25" i="15"/>
  <c r="N25" i="15"/>
  <c r="J26" i="15"/>
  <c r="R26" i="15" s="1"/>
  <c r="K26" i="15"/>
  <c r="L26" i="15"/>
  <c r="M26" i="15"/>
  <c r="N26" i="15"/>
  <c r="J27" i="15"/>
  <c r="R27" i="15" s="1"/>
  <c r="K27" i="15"/>
  <c r="L27" i="15"/>
  <c r="M27" i="15"/>
  <c r="N27" i="15"/>
  <c r="J28" i="15"/>
  <c r="R28" i="15" s="1"/>
  <c r="K28" i="15"/>
  <c r="L28" i="15"/>
  <c r="M28" i="15"/>
  <c r="N28" i="15"/>
  <c r="J29" i="15"/>
  <c r="R29" i="15" s="1"/>
  <c r="K29" i="15"/>
  <c r="L29" i="15"/>
  <c r="M29" i="15"/>
  <c r="N29" i="15"/>
  <c r="J31" i="15"/>
  <c r="R30" i="15" s="1"/>
  <c r="K31" i="15"/>
  <c r="L31" i="15"/>
  <c r="M31" i="15"/>
  <c r="N31" i="15"/>
  <c r="J32" i="15"/>
  <c r="R31" i="15" s="1"/>
  <c r="K32" i="15"/>
  <c r="L32" i="15"/>
  <c r="M32" i="15"/>
  <c r="N32" i="15"/>
  <c r="J33" i="15"/>
  <c r="R32" i="15" s="1"/>
  <c r="K33" i="15"/>
  <c r="L33" i="15"/>
  <c r="M33" i="15"/>
  <c r="N33" i="15"/>
  <c r="J34" i="15"/>
  <c r="R33" i="15" s="1"/>
  <c r="K34" i="15"/>
  <c r="L34" i="15"/>
  <c r="M34" i="15"/>
  <c r="N34" i="15"/>
  <c r="J35" i="15"/>
  <c r="R34" i="15" s="1"/>
  <c r="K35" i="15"/>
  <c r="L35" i="15"/>
  <c r="M35" i="15"/>
  <c r="N35" i="15"/>
  <c r="J36" i="15"/>
  <c r="R35" i="15" s="1"/>
  <c r="K36" i="15"/>
  <c r="L36" i="15"/>
  <c r="M36" i="15"/>
  <c r="N36" i="15"/>
  <c r="J37" i="15"/>
  <c r="R36" i="15" s="1"/>
  <c r="K37" i="15"/>
  <c r="L37" i="15"/>
  <c r="M37" i="15"/>
  <c r="N37" i="15"/>
  <c r="J38" i="15"/>
  <c r="R37" i="15" s="1"/>
  <c r="K38" i="15"/>
  <c r="L38" i="15"/>
  <c r="M38" i="15"/>
  <c r="N38" i="15"/>
  <c r="J39" i="15"/>
  <c r="R38" i="15" s="1"/>
  <c r="K39" i="15"/>
  <c r="L39" i="15"/>
  <c r="M39" i="15"/>
  <c r="N39" i="15"/>
  <c r="J40" i="15"/>
  <c r="R39" i="15" s="1"/>
  <c r="K40" i="15"/>
  <c r="L40" i="15"/>
  <c r="M40" i="15"/>
  <c r="N40" i="15"/>
  <c r="J41" i="15"/>
  <c r="R40" i="15" s="1"/>
  <c r="K41" i="15"/>
  <c r="L41" i="15"/>
  <c r="M41" i="15"/>
  <c r="N41" i="15"/>
  <c r="J42" i="15"/>
  <c r="R41" i="15" s="1"/>
  <c r="K42" i="15"/>
  <c r="L42" i="15"/>
  <c r="M42" i="15"/>
  <c r="N42" i="15"/>
  <c r="J43" i="15"/>
  <c r="R42" i="15" s="1"/>
  <c r="K43" i="15"/>
  <c r="L43" i="15"/>
  <c r="M43" i="15"/>
  <c r="N43" i="15"/>
  <c r="J44" i="15"/>
  <c r="R43" i="15" s="1"/>
  <c r="K44" i="15"/>
  <c r="L44" i="15"/>
  <c r="M44" i="15"/>
  <c r="N44" i="15"/>
  <c r="J45" i="15"/>
  <c r="R44" i="15" s="1"/>
  <c r="K45" i="15"/>
  <c r="L45" i="15"/>
  <c r="M45" i="15"/>
  <c r="N45" i="15"/>
  <c r="J46" i="15"/>
  <c r="R45" i="15" s="1"/>
  <c r="K46" i="15"/>
  <c r="L46" i="15"/>
  <c r="M46" i="15"/>
  <c r="N46" i="15"/>
  <c r="J47" i="15"/>
  <c r="R46" i="15" s="1"/>
  <c r="K47" i="15"/>
  <c r="L47" i="15"/>
  <c r="M47" i="15"/>
  <c r="N47" i="15"/>
  <c r="AD108" i="16" l="1"/>
  <c r="AF44" i="16"/>
  <c r="AH44" i="16" s="1"/>
  <c r="AE31" i="16"/>
  <c r="AF43" i="16"/>
  <c r="AH43" i="16" s="1"/>
  <c r="AE35" i="16"/>
  <c r="AF45" i="16"/>
  <c r="AH45" i="16" s="1"/>
  <c r="AE32" i="16"/>
  <c r="AL42" i="16"/>
  <c r="AD58" i="16" s="1"/>
  <c r="AF28" i="16"/>
  <c r="AE30" i="16"/>
  <c r="AF42" i="16"/>
  <c r="AH42" i="16" s="1"/>
  <c r="AD110" i="16"/>
  <c r="AD109" i="16"/>
  <c r="AD106" i="16"/>
  <c r="AD113" i="16"/>
  <c r="AJ154" i="15"/>
  <c r="AJ155" i="15"/>
  <c r="AJ156" i="15"/>
  <c r="AJ153" i="15"/>
  <c r="AL40" i="15"/>
  <c r="AL104" i="15"/>
  <c r="AL92" i="15"/>
  <c r="AL80" i="15"/>
  <c r="AL42" i="15"/>
  <c r="AL106" i="15"/>
  <c r="AL94" i="15"/>
  <c r="AL82" i="15"/>
  <c r="AL41" i="15"/>
  <c r="AL93" i="15"/>
  <c r="AL81" i="15"/>
  <c r="AL105" i="15"/>
  <c r="AL43" i="15"/>
  <c r="AL83" i="15"/>
  <c r="AL107" i="15"/>
  <c r="AL95" i="15"/>
  <c r="AL28" i="15"/>
  <c r="AL29" i="15"/>
  <c r="AL27" i="15"/>
  <c r="AL30" i="15"/>
  <c r="U46" i="15"/>
  <c r="AE46" i="15" s="1"/>
  <c r="X46" i="15"/>
  <c r="AH46" i="15" s="1"/>
  <c r="U42" i="15"/>
  <c r="AE42" i="15" s="1"/>
  <c r="X42" i="15"/>
  <c r="AH42" i="15" s="1"/>
  <c r="U39" i="15"/>
  <c r="AE39" i="15" s="1"/>
  <c r="X39" i="15"/>
  <c r="AH39" i="15" s="1"/>
  <c r="U35" i="15"/>
  <c r="X35" i="15"/>
  <c r="AH35" i="15" s="1"/>
  <c r="U31" i="15"/>
  <c r="AE31" i="15" s="1"/>
  <c r="X31" i="15"/>
  <c r="AH31" i="15" s="1"/>
  <c r="U27" i="15"/>
  <c r="AE27" i="15" s="1"/>
  <c r="X27" i="15"/>
  <c r="AH27" i="15" s="1"/>
  <c r="U23" i="15"/>
  <c r="X23" i="15"/>
  <c r="AH23" i="15" s="1"/>
  <c r="U19" i="15"/>
  <c r="X19" i="15"/>
  <c r="U45" i="15"/>
  <c r="AE45" i="15" s="1"/>
  <c r="X45" i="15"/>
  <c r="AH45" i="15" s="1"/>
  <c r="U41" i="15"/>
  <c r="AE41" i="15" s="1"/>
  <c r="X41" i="15"/>
  <c r="AH41" i="15" s="1"/>
  <c r="U38" i="15"/>
  <c r="AE38" i="15" s="1"/>
  <c r="X38" i="15"/>
  <c r="AH38" i="15" s="1"/>
  <c r="U34" i="15"/>
  <c r="AE34" i="15" s="1"/>
  <c r="X34" i="15"/>
  <c r="AH34" i="15" s="1"/>
  <c r="U30" i="15"/>
  <c r="AE30" i="15" s="1"/>
  <c r="X30" i="15"/>
  <c r="AH30" i="15" s="1"/>
  <c r="U26" i="15"/>
  <c r="AE26" i="15" s="1"/>
  <c r="X26" i="15"/>
  <c r="AH26" i="15" s="1"/>
  <c r="U22" i="15"/>
  <c r="AE22" i="15" s="1"/>
  <c r="X22" i="15"/>
  <c r="AH22" i="15" s="1"/>
  <c r="U44" i="15"/>
  <c r="AE44" i="15" s="1"/>
  <c r="X44" i="15"/>
  <c r="AH44" i="15" s="1"/>
  <c r="U37" i="15"/>
  <c r="AE37" i="15" s="1"/>
  <c r="X37" i="15"/>
  <c r="AH37" i="15" s="1"/>
  <c r="U33" i="15"/>
  <c r="X33" i="15"/>
  <c r="AH33" i="15" s="1"/>
  <c r="U29" i="15"/>
  <c r="AE29" i="15" s="1"/>
  <c r="X29" i="15"/>
  <c r="AH29" i="15" s="1"/>
  <c r="U25" i="15"/>
  <c r="X25" i="15"/>
  <c r="AH25" i="15" s="1"/>
  <c r="U21" i="15"/>
  <c r="AE21" i="15" s="1"/>
  <c r="X21" i="15"/>
  <c r="AH21" i="15" s="1"/>
  <c r="U43" i="15"/>
  <c r="AE43" i="15" s="1"/>
  <c r="X43" i="15"/>
  <c r="AH43" i="15" s="1"/>
  <c r="U40" i="15"/>
  <c r="AE40" i="15" s="1"/>
  <c r="X40" i="15"/>
  <c r="AH40" i="15" s="1"/>
  <c r="U36" i="15"/>
  <c r="AE36" i="15" s="1"/>
  <c r="X36" i="15"/>
  <c r="AH36" i="15" s="1"/>
  <c r="U32" i="15"/>
  <c r="X32" i="15"/>
  <c r="AH32" i="15" s="1"/>
  <c r="U28" i="15"/>
  <c r="AE28" i="15" s="1"/>
  <c r="X28" i="15"/>
  <c r="AH28" i="15" s="1"/>
  <c r="U24" i="15"/>
  <c r="AE24" i="15" s="1"/>
  <c r="X24" i="15"/>
  <c r="AH24" i="15" s="1"/>
  <c r="U20" i="15"/>
  <c r="AE20" i="15" s="1"/>
  <c r="X20" i="15"/>
  <c r="AH20" i="15" s="1"/>
  <c r="AE23" i="15"/>
  <c r="T41" i="15"/>
  <c r="AD41" i="15" s="1"/>
  <c r="T31" i="15"/>
  <c r="T23" i="15"/>
  <c r="AD23" i="15" s="1"/>
  <c r="T45" i="15"/>
  <c r="AD45" i="15" s="1"/>
  <c r="V34" i="15"/>
  <c r="AF34" i="15" s="1"/>
  <c r="V20" i="15"/>
  <c r="AF20" i="15" s="1"/>
  <c r="V39" i="15"/>
  <c r="AF39" i="15" s="1"/>
  <c r="V23" i="15"/>
  <c r="AF23" i="15" s="1"/>
  <c r="T29" i="15"/>
  <c r="AD29" i="15" s="1"/>
  <c r="V44" i="15"/>
  <c r="AF44" i="15" s="1"/>
  <c r="T39" i="15"/>
  <c r="AD39" i="15" s="1"/>
  <c r="T33" i="15"/>
  <c r="AD33" i="15" s="1"/>
  <c r="V28" i="15"/>
  <c r="AF28" i="15" s="1"/>
  <c r="V22" i="15"/>
  <c r="AF22" i="15" s="1"/>
  <c r="V42" i="15"/>
  <c r="AF42" i="15" s="1"/>
  <c r="T37" i="15"/>
  <c r="AD37" i="15" s="1"/>
  <c r="V31" i="15"/>
  <c r="T25" i="15"/>
  <c r="AD25" i="15" s="1"/>
  <c r="T21" i="15"/>
  <c r="AD21" i="15" s="1"/>
  <c r="T43" i="15"/>
  <c r="AD43" i="15" s="1"/>
  <c r="T35" i="15"/>
  <c r="AD35" i="15" s="1"/>
  <c r="T19" i="15"/>
  <c r="V46" i="15"/>
  <c r="AF46" i="15" s="1"/>
  <c r="V40" i="15"/>
  <c r="AF40" i="15" s="1"/>
  <c r="V38" i="15"/>
  <c r="AF38" i="15" s="1"/>
  <c r="V32" i="15"/>
  <c r="V30" i="15"/>
  <c r="V26" i="15"/>
  <c r="AF26" i="15" s="1"/>
  <c r="V24" i="15"/>
  <c r="AF24" i="15" s="1"/>
  <c r="T46" i="15"/>
  <c r="AD46" i="15" s="1"/>
  <c r="T44" i="15"/>
  <c r="AD44" i="15" s="1"/>
  <c r="T42" i="15"/>
  <c r="AD42" i="15" s="1"/>
  <c r="T40" i="15"/>
  <c r="AD40" i="15" s="1"/>
  <c r="T38" i="15"/>
  <c r="AD38" i="15" s="1"/>
  <c r="T36" i="15"/>
  <c r="AD36" i="15" s="1"/>
  <c r="T34" i="15"/>
  <c r="AD34" i="15" s="1"/>
  <c r="T32" i="15"/>
  <c r="T30" i="15"/>
  <c r="T28" i="15"/>
  <c r="AD28" i="15" s="1"/>
  <c r="T26" i="15"/>
  <c r="AD26" i="15" s="1"/>
  <c r="T24" i="15"/>
  <c r="AD24" i="15" s="1"/>
  <c r="T22" i="15"/>
  <c r="AD22" i="15" s="1"/>
  <c r="T20" i="15"/>
  <c r="AD20" i="15" s="1"/>
  <c r="AF36" i="15"/>
  <c r="T27" i="15"/>
  <c r="AD27" i="15" s="1"/>
  <c r="V45" i="15"/>
  <c r="AF45" i="15" s="1"/>
  <c r="V43" i="15"/>
  <c r="AF43" i="15" s="1"/>
  <c r="V41" i="15"/>
  <c r="AF41" i="15" s="1"/>
  <c r="V37" i="15"/>
  <c r="AF37" i="15" s="1"/>
  <c r="V35" i="15"/>
  <c r="AF35" i="15" s="1"/>
  <c r="V33" i="15"/>
  <c r="AF33" i="15" s="1"/>
  <c r="V29" i="15"/>
  <c r="AF29" i="15" s="1"/>
  <c r="V27" i="15"/>
  <c r="AF27" i="15" s="1"/>
  <c r="V25" i="15"/>
  <c r="AF25" i="15" s="1"/>
  <c r="V21" i="15"/>
  <c r="AF21" i="15" s="1"/>
  <c r="V19" i="15"/>
  <c r="W46" i="15"/>
  <c r="AG46" i="15" s="1"/>
  <c r="W45" i="15"/>
  <c r="AG45" i="15" s="1"/>
  <c r="W44" i="15"/>
  <c r="AG44" i="15" s="1"/>
  <c r="W43" i="15"/>
  <c r="AG43" i="15" s="1"/>
  <c r="W42" i="15"/>
  <c r="AG42" i="15" s="1"/>
  <c r="W41" i="15"/>
  <c r="AG41" i="15" s="1"/>
  <c r="W40" i="15"/>
  <c r="AG40" i="15" s="1"/>
  <c r="W39" i="15"/>
  <c r="AG39" i="15" s="1"/>
  <c r="W38" i="15"/>
  <c r="AG38" i="15" s="1"/>
  <c r="W37" i="15"/>
  <c r="AG37" i="15" s="1"/>
  <c r="W36" i="15"/>
  <c r="AG36" i="15" s="1"/>
  <c r="W35" i="15"/>
  <c r="AG35" i="15" s="1"/>
  <c r="W34" i="15"/>
  <c r="AG34" i="15" s="1"/>
  <c r="W33" i="15"/>
  <c r="AG33" i="15" s="1"/>
  <c r="W32" i="15"/>
  <c r="W31" i="15"/>
  <c r="AG31" i="15" s="1"/>
  <c r="W30" i="15"/>
  <c r="AG30" i="15" s="1"/>
  <c r="W29" i="15"/>
  <c r="AG29" i="15" s="1"/>
  <c r="W28" i="15"/>
  <c r="AG28" i="15" s="1"/>
  <c r="W27" i="15"/>
  <c r="AG27" i="15" s="1"/>
  <c r="W26" i="15"/>
  <c r="AG26" i="15" s="1"/>
  <c r="W25" i="15"/>
  <c r="AG25" i="15" s="1"/>
  <c r="W24" i="15"/>
  <c r="AG24" i="15" s="1"/>
  <c r="W23" i="15"/>
  <c r="AG23" i="15" s="1"/>
  <c r="W22" i="15"/>
  <c r="AG22" i="15" s="1"/>
  <c r="W21" i="15"/>
  <c r="AG21" i="15" s="1"/>
  <c r="W20" i="15"/>
  <c r="AG20" i="15" s="1"/>
  <c r="W19" i="15"/>
  <c r="V16" i="13"/>
  <c r="V15" i="13"/>
  <c r="M21" i="13"/>
  <c r="M23" i="13"/>
  <c r="M15" i="13"/>
  <c r="E64" i="13"/>
  <c r="E63" i="13"/>
  <c r="K26" i="13"/>
  <c r="AD95" i="16" l="1"/>
  <c r="AE95" i="16"/>
  <c r="AF95" i="16"/>
  <c r="AH52" i="16"/>
  <c r="AL45" i="16"/>
  <c r="AD61" i="16" s="1"/>
  <c r="AF32" i="16"/>
  <c r="AL44" i="16"/>
  <c r="AD60" i="16" s="1"/>
  <c r="AF31" i="16"/>
  <c r="AL48" i="16"/>
  <c r="AD64" i="16" s="1"/>
  <c r="AF35" i="16"/>
  <c r="AF30" i="16"/>
  <c r="AL43" i="16"/>
  <c r="AD59" i="16" s="1"/>
  <c r="AL86" i="15"/>
  <c r="AL111" i="15"/>
  <c r="AP111" i="15" s="1"/>
  <c r="AM92" i="15"/>
  <c r="AN92" i="15" s="1"/>
  <c r="AO92" i="15" s="1"/>
  <c r="AL47" i="15"/>
  <c r="AP47" i="15" s="1"/>
  <c r="AM40" i="15"/>
  <c r="AN40" i="15" s="1"/>
  <c r="AO40" i="15" s="1"/>
  <c r="AM80" i="15"/>
  <c r="AN80" i="15" s="1"/>
  <c r="AM104" i="15"/>
  <c r="AN104" i="15" s="1"/>
  <c r="AL99" i="15"/>
  <c r="AP99" i="15" s="1"/>
  <c r="AL87" i="15"/>
  <c r="AP87" i="15" s="1"/>
  <c r="AM41" i="15"/>
  <c r="AN41" i="15" s="1"/>
  <c r="AO41" i="15" s="1"/>
  <c r="AM105" i="15"/>
  <c r="AN105" i="15" s="1"/>
  <c r="AM93" i="15"/>
  <c r="AM81" i="15"/>
  <c r="AL110" i="15"/>
  <c r="AL112" i="15" s="1"/>
  <c r="AM96" i="15"/>
  <c r="AM84" i="15"/>
  <c r="AM44" i="15"/>
  <c r="AM108" i="15"/>
  <c r="AN108" i="15" s="1"/>
  <c r="AL98" i="15"/>
  <c r="AM107" i="15"/>
  <c r="AN107" i="15" s="1"/>
  <c r="AM95" i="15"/>
  <c r="AN95" i="15" s="1"/>
  <c r="AM43" i="15"/>
  <c r="AN43" i="15" s="1"/>
  <c r="AO43" i="15" s="1"/>
  <c r="AP43" i="15" s="1"/>
  <c r="AM83" i="15"/>
  <c r="AN83" i="15" s="1"/>
  <c r="AM94" i="15"/>
  <c r="AN94" i="15" s="1"/>
  <c r="AM82" i="15"/>
  <c r="AN82" i="15" s="1"/>
  <c r="AM106" i="15"/>
  <c r="AN106" i="15" s="1"/>
  <c r="AM42" i="15"/>
  <c r="AN42" i="15" s="1"/>
  <c r="AO42" i="15" s="1"/>
  <c r="AL46" i="15"/>
  <c r="AL32" i="15"/>
  <c r="AN29" i="15"/>
  <c r="AO29" i="15" s="1"/>
  <c r="AM29" i="15"/>
  <c r="AH19" i="15"/>
  <c r="AN27" i="15"/>
  <c r="AO27" i="15" s="1"/>
  <c r="AF32" i="15"/>
  <c r="AE32" i="15"/>
  <c r="AG32" i="15"/>
  <c r="AD32" i="15"/>
  <c r="AM28" i="15"/>
  <c r="AE19" i="15"/>
  <c r="AK20" i="15" s="1"/>
  <c r="AG19" i="15"/>
  <c r="AK22" i="15" s="1"/>
  <c r="AM30" i="15"/>
  <c r="AM27" i="15"/>
  <c r="AL33" i="15"/>
  <c r="AP33" i="15" s="1"/>
  <c r="AN30" i="15"/>
  <c r="AO30" i="15" s="1"/>
  <c r="AN28" i="15"/>
  <c r="AO28" i="15" s="1"/>
  <c r="M26" i="13"/>
  <c r="J30" i="13" s="1"/>
  <c r="M27" i="13"/>
  <c r="AK153" i="15"/>
  <c r="AK155" i="15"/>
  <c r="AD19" i="15"/>
  <c r="AK19" i="15" s="1"/>
  <c r="AK154" i="15"/>
  <c r="AK156" i="15"/>
  <c r="AF19" i="15"/>
  <c r="AK21" i="15" s="1"/>
  <c r="K155" i="11"/>
  <c r="L155" i="11"/>
  <c r="L156" i="11"/>
  <c r="L154" i="11"/>
  <c r="K154" i="11"/>
  <c r="S57" i="11"/>
  <c r="AN44" i="15" l="1"/>
  <c r="AO44" i="15" s="1"/>
  <c r="AP44" i="15" s="1"/>
  <c r="AK70" i="15"/>
  <c r="AK58" i="15"/>
  <c r="AR80" i="15" s="1"/>
  <c r="AE99" i="16"/>
  <c r="AD99" i="16"/>
  <c r="AF99" i="16"/>
  <c r="AF100" i="16"/>
  <c r="AD100" i="16"/>
  <c r="AE100" i="16"/>
  <c r="AE96" i="16"/>
  <c r="AF96" i="16"/>
  <c r="AD96" i="16"/>
  <c r="AP30" i="15"/>
  <c r="AP28" i="15"/>
  <c r="AP127" i="15"/>
  <c r="AS127" i="15" s="1"/>
  <c r="AO127" i="15"/>
  <c r="AR127" i="15" s="1"/>
  <c r="AQ127" i="15"/>
  <c r="AT127" i="15" s="1"/>
  <c r="AQ129" i="15"/>
  <c r="AT129" i="15" s="1"/>
  <c r="AO129" i="15"/>
  <c r="AR129" i="15" s="1"/>
  <c r="AP129" i="15"/>
  <c r="AS129" i="15" s="1"/>
  <c r="AO128" i="15"/>
  <c r="AR128" i="15" s="1"/>
  <c r="AP128" i="15"/>
  <c r="AS128" i="15" s="1"/>
  <c r="AQ128" i="15"/>
  <c r="AT128" i="15" s="1"/>
  <c r="AP130" i="15"/>
  <c r="AS130" i="15" s="1"/>
  <c r="AQ130" i="15"/>
  <c r="AT130" i="15" s="1"/>
  <c r="AO130" i="15"/>
  <c r="AR130" i="15" s="1"/>
  <c r="AO104" i="15"/>
  <c r="AP104" i="15" s="1"/>
  <c r="AO105" i="15"/>
  <c r="AP105" i="15" s="1"/>
  <c r="AL100" i="15"/>
  <c r="AO106" i="15"/>
  <c r="AP106" i="15" s="1"/>
  <c r="AO108" i="15"/>
  <c r="AP108" i="15" s="1"/>
  <c r="AO94" i="15"/>
  <c r="AP94" i="15" s="1"/>
  <c r="AO82" i="15"/>
  <c r="AP82" i="15" s="1"/>
  <c r="AO95" i="15"/>
  <c r="AO83" i="15"/>
  <c r="AP83" i="15" s="1"/>
  <c r="AO80" i="15"/>
  <c r="AP80" i="15" s="1"/>
  <c r="AN84" i="15"/>
  <c r="AO84" i="15" s="1"/>
  <c r="AP84" i="15" s="1"/>
  <c r="AL88" i="15"/>
  <c r="AN81" i="15"/>
  <c r="AO81" i="15" s="1"/>
  <c r="AP81" i="15" s="1"/>
  <c r="AP92" i="15"/>
  <c r="AN96" i="15"/>
  <c r="AO96" i="15" s="1"/>
  <c r="AP96" i="15" s="1"/>
  <c r="AN93" i="15"/>
  <c r="AO93" i="15" s="1"/>
  <c r="AP93" i="15" s="1"/>
  <c r="AP27" i="15"/>
  <c r="AP29" i="15"/>
  <c r="AP42" i="15"/>
  <c r="AP40" i="15"/>
  <c r="AK71" i="15"/>
  <c r="AK59" i="15"/>
  <c r="AR81" i="15" s="1"/>
  <c r="AK72" i="15"/>
  <c r="AK60" i="15"/>
  <c r="AR82" i="15" s="1"/>
  <c r="AK73" i="15"/>
  <c r="AK61" i="15"/>
  <c r="AR83" i="15" s="1"/>
  <c r="AP41" i="15"/>
  <c r="AL48" i="15"/>
  <c r="AL34" i="15"/>
  <c r="K158" i="11"/>
  <c r="D156" i="11" s="1"/>
  <c r="E16" i="13"/>
  <c r="X16" i="13" s="1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15" i="13"/>
  <c r="G99" i="11"/>
  <c r="AL147" i="15" l="1"/>
  <c r="AL145" i="15"/>
  <c r="AN144" i="15"/>
  <c r="AM147" i="15"/>
  <c r="AL146" i="15"/>
  <c r="AB12" i="13" s="1"/>
  <c r="AL144" i="15"/>
  <c r="AN145" i="15"/>
  <c r="AM144" i="15"/>
  <c r="AM146" i="15"/>
  <c r="AB13" i="13" s="1"/>
  <c r="AM145" i="15"/>
  <c r="AN146" i="15"/>
  <c r="AB14" i="13" s="1"/>
  <c r="AP46" i="15"/>
  <c r="AP48" i="15" s="1"/>
  <c r="AP95" i="15"/>
  <c r="AO107" i="15"/>
  <c r="AP107" i="15" s="1"/>
  <c r="AP110" i="15" s="1"/>
  <c r="AP112" i="15" s="1"/>
  <c r="AP86" i="15"/>
  <c r="AP88" i="15" s="1"/>
  <c r="AP32" i="15"/>
  <c r="AP34" i="15" s="1"/>
  <c r="AP98" i="15"/>
  <c r="AP100" i="15" s="1"/>
  <c r="G15" i="13"/>
  <c r="X15" i="13"/>
  <c r="H99" i="11"/>
  <c r="I99" i="11" s="1"/>
  <c r="J99" i="11" s="1"/>
  <c r="K99" i="11" s="1"/>
  <c r="L99" i="11" s="1"/>
  <c r="M99" i="11" s="1"/>
  <c r="N99" i="11" s="1"/>
  <c r="O99" i="11" s="1"/>
  <c r="AN147" i="15" l="1"/>
  <c r="G100" i="11"/>
  <c r="C159" i="11"/>
  <c r="C161" i="11" s="1"/>
  <c r="P99" i="11"/>
  <c r="Q99" i="11" s="1"/>
  <c r="R99" i="11" s="1"/>
  <c r="S99" i="11" s="1"/>
  <c r="T99" i="11" s="1"/>
  <c r="U99" i="11" s="1"/>
  <c r="V99" i="11" s="1"/>
  <c r="W99" i="11" s="1"/>
  <c r="X99" i="11" s="1"/>
  <c r="Y99" i="11" s="1"/>
  <c r="Z99" i="11" s="1"/>
  <c r="AA99" i="11" s="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15" i="11"/>
  <c r="AF14" i="11"/>
  <c r="AG14" i="11"/>
  <c r="AH14" i="11"/>
  <c r="AI14" i="11"/>
  <c r="AE14" i="11"/>
  <c r="AF15" i="11"/>
  <c r="AG15" i="11"/>
  <c r="AH15" i="11"/>
  <c r="AI15" i="11"/>
  <c r="AF17" i="11"/>
  <c r="AG17" i="11"/>
  <c r="AH17" i="11"/>
  <c r="AI17" i="11"/>
  <c r="AF18" i="11"/>
  <c r="AG18" i="11"/>
  <c r="AH18" i="11"/>
  <c r="AI18" i="11"/>
  <c r="AF19" i="11"/>
  <c r="AG19" i="11"/>
  <c r="AH19" i="11"/>
  <c r="AI19" i="11"/>
  <c r="AF20" i="11"/>
  <c r="AG20" i="11"/>
  <c r="AH20" i="11"/>
  <c r="AI20" i="11"/>
  <c r="AF21" i="11"/>
  <c r="AG21" i="11"/>
  <c r="AH21" i="11"/>
  <c r="AI21" i="11"/>
  <c r="AF22" i="11"/>
  <c r="AG22" i="11"/>
  <c r="AH22" i="11"/>
  <c r="AI22" i="11"/>
  <c r="AF23" i="11"/>
  <c r="AG23" i="11"/>
  <c r="AH23" i="11"/>
  <c r="AI23" i="11"/>
  <c r="AF24" i="11"/>
  <c r="AG24" i="11"/>
  <c r="AH24" i="11"/>
  <c r="AI24" i="11"/>
  <c r="AF25" i="11"/>
  <c r="AG25" i="11"/>
  <c r="AH25" i="11"/>
  <c r="AI25" i="11"/>
  <c r="AF26" i="11"/>
  <c r="AG26" i="11"/>
  <c r="AH26" i="11"/>
  <c r="AI26" i="11"/>
  <c r="AF28" i="11"/>
  <c r="AG28" i="11"/>
  <c r="AH28" i="11"/>
  <c r="AI28" i="11"/>
  <c r="AF29" i="11"/>
  <c r="AG29" i="11"/>
  <c r="AH29" i="11"/>
  <c r="AI29" i="11"/>
  <c r="AF30" i="11"/>
  <c r="AG30" i="11"/>
  <c r="AH30" i="11"/>
  <c r="AI30" i="11"/>
  <c r="AF31" i="11"/>
  <c r="AG31" i="11"/>
  <c r="AH31" i="11"/>
  <c r="AI31" i="11"/>
  <c r="AF32" i="11"/>
  <c r="AG32" i="11"/>
  <c r="AH32" i="11"/>
  <c r="AI32" i="11"/>
  <c r="AF33" i="11"/>
  <c r="AG33" i="11"/>
  <c r="AH33" i="11"/>
  <c r="AI33" i="11"/>
  <c r="AF34" i="11"/>
  <c r="AG34" i="11"/>
  <c r="AH34" i="11"/>
  <c r="AI34" i="11"/>
  <c r="AF35" i="11"/>
  <c r="AG35" i="11"/>
  <c r="AH35" i="11"/>
  <c r="AI35" i="11"/>
  <c r="AF36" i="11"/>
  <c r="AG36" i="11"/>
  <c r="AH36" i="11"/>
  <c r="AI36" i="11"/>
  <c r="AF37" i="11"/>
  <c r="AG37" i="11"/>
  <c r="AH37" i="11"/>
  <c r="AI37" i="11"/>
  <c r="AF38" i="11"/>
  <c r="AG38" i="11"/>
  <c r="AH38" i="11"/>
  <c r="AI38" i="11"/>
  <c r="AF39" i="11"/>
  <c r="AG39" i="11"/>
  <c r="AH39" i="11"/>
  <c r="AI39" i="11"/>
  <c r="AF40" i="11"/>
  <c r="AG40" i="11"/>
  <c r="AH40" i="11"/>
  <c r="AI40" i="11"/>
  <c r="AF41" i="11"/>
  <c r="AG41" i="11"/>
  <c r="AH41" i="11"/>
  <c r="AI41" i="11"/>
  <c r="AF42" i="11"/>
  <c r="AG42" i="11"/>
  <c r="AH42" i="11"/>
  <c r="AI42" i="11"/>
  <c r="AF43" i="11"/>
  <c r="AG43" i="11"/>
  <c r="AH43" i="11"/>
  <c r="AI43" i="11"/>
  <c r="AF44" i="11"/>
  <c r="AG44" i="11"/>
  <c r="AH44" i="11"/>
  <c r="AI44" i="11"/>
  <c r="AE39" i="11"/>
  <c r="AE20" i="11"/>
  <c r="AE18" i="11"/>
  <c r="AE17" i="11"/>
  <c r="AE19" i="11"/>
  <c r="AE21" i="11"/>
  <c r="AE22" i="11"/>
  <c r="AE23" i="11"/>
  <c r="AE24" i="11"/>
  <c r="AE25" i="11"/>
  <c r="AE26" i="11"/>
  <c r="AE28" i="11"/>
  <c r="AE29" i="11"/>
  <c r="AE30" i="11"/>
  <c r="AE31" i="11"/>
  <c r="AE32" i="11"/>
  <c r="AE33" i="11"/>
  <c r="AE34" i="11"/>
  <c r="AE35" i="11"/>
  <c r="AE36" i="11"/>
  <c r="AE37" i="11"/>
  <c r="AE38" i="11"/>
  <c r="AE40" i="11"/>
  <c r="AE41" i="11"/>
  <c r="AE42" i="11"/>
  <c r="AE43" i="11"/>
  <c r="AE44" i="11"/>
  <c r="AE15" i="11"/>
  <c r="Z39" i="11"/>
  <c r="AA39" i="11"/>
  <c r="AB39" i="11"/>
  <c r="AC39" i="11"/>
  <c r="Y39" i="11"/>
  <c r="Z20" i="11"/>
  <c r="AA20" i="11"/>
  <c r="AB20" i="11"/>
  <c r="AC20" i="11"/>
  <c r="Y20" i="11"/>
  <c r="Z18" i="11"/>
  <c r="AA18" i="11"/>
  <c r="AB18" i="11"/>
  <c r="AC18" i="11"/>
  <c r="Y18" i="11"/>
  <c r="Y16" i="11"/>
  <c r="Z16" i="11"/>
  <c r="AA16" i="11"/>
  <c r="AB16" i="11"/>
  <c r="AC16" i="11"/>
  <c r="Y17" i="11"/>
  <c r="Z17" i="11"/>
  <c r="AA17" i="11"/>
  <c r="AB17" i="11"/>
  <c r="AC17" i="11"/>
  <c r="Y19" i="11"/>
  <c r="Z19" i="11"/>
  <c r="AA19" i="11"/>
  <c r="AB19" i="11"/>
  <c r="AC19" i="11"/>
  <c r="Y21" i="11"/>
  <c r="Z21" i="11"/>
  <c r="AA21" i="11"/>
  <c r="AB21" i="11"/>
  <c r="AC21" i="11"/>
  <c r="Y22" i="11"/>
  <c r="Z22" i="11"/>
  <c r="AA22" i="11"/>
  <c r="AB22" i="11"/>
  <c r="AC22" i="11"/>
  <c r="Y23" i="11"/>
  <c r="Z23" i="11"/>
  <c r="AA23" i="11"/>
  <c r="AB23" i="11"/>
  <c r="AC23" i="11"/>
  <c r="Y24" i="11"/>
  <c r="Z24" i="11"/>
  <c r="AA24" i="11"/>
  <c r="AB24" i="11"/>
  <c r="AC24" i="11"/>
  <c r="Y25" i="11"/>
  <c r="Z25" i="11"/>
  <c r="AA25" i="11"/>
  <c r="AB25" i="11"/>
  <c r="AC25" i="11"/>
  <c r="Y26" i="11"/>
  <c r="Z26" i="11"/>
  <c r="AA26" i="11"/>
  <c r="AB26" i="11"/>
  <c r="AC26" i="11"/>
  <c r="Y27" i="11"/>
  <c r="Z27" i="11"/>
  <c r="AA27" i="11"/>
  <c r="AB27" i="11"/>
  <c r="AC27" i="11"/>
  <c r="Y28" i="11"/>
  <c r="Z28" i="11"/>
  <c r="AA28" i="11"/>
  <c r="AB28" i="11"/>
  <c r="AC28" i="11"/>
  <c r="Y29" i="11"/>
  <c r="Z29" i="11"/>
  <c r="AA29" i="11"/>
  <c r="AB29" i="11"/>
  <c r="AC29" i="11"/>
  <c r="Y30" i="11"/>
  <c r="Z30" i="11"/>
  <c r="AA30" i="11"/>
  <c r="AB30" i="11"/>
  <c r="AC30" i="11"/>
  <c r="Y31" i="11"/>
  <c r="Z31" i="11"/>
  <c r="AA31" i="11"/>
  <c r="AB31" i="11"/>
  <c r="AC31" i="11"/>
  <c r="Y32" i="11"/>
  <c r="Z32" i="11"/>
  <c r="AA32" i="11"/>
  <c r="AB32" i="11"/>
  <c r="AC32" i="11"/>
  <c r="Y33" i="11"/>
  <c r="Z33" i="11"/>
  <c r="AA33" i="11"/>
  <c r="AB33" i="11"/>
  <c r="AC33" i="11"/>
  <c r="Y34" i="11"/>
  <c r="Z34" i="11"/>
  <c r="AA34" i="11"/>
  <c r="AB34" i="11"/>
  <c r="AC34" i="11"/>
  <c r="Y35" i="11"/>
  <c r="Z35" i="11"/>
  <c r="AA35" i="11"/>
  <c r="AB35" i="11"/>
  <c r="AC35" i="11"/>
  <c r="Y36" i="11"/>
  <c r="Z36" i="11"/>
  <c r="AA36" i="11"/>
  <c r="AB36" i="11"/>
  <c r="AC36" i="11"/>
  <c r="Y37" i="11"/>
  <c r="Z37" i="11"/>
  <c r="AA37" i="11"/>
  <c r="AB37" i="11"/>
  <c r="AC37" i="11"/>
  <c r="Y38" i="11"/>
  <c r="Z38" i="11"/>
  <c r="AA38" i="11"/>
  <c r="AB38" i="11"/>
  <c r="AC38" i="11"/>
  <c r="Y40" i="11"/>
  <c r="Z40" i="11"/>
  <c r="AA40" i="11"/>
  <c r="AB40" i="11"/>
  <c r="AC40" i="11"/>
  <c r="Y41" i="11"/>
  <c r="Z41" i="11"/>
  <c r="AA41" i="11"/>
  <c r="AB41" i="11"/>
  <c r="AC41" i="11"/>
  <c r="Y42" i="11"/>
  <c r="Z42" i="11"/>
  <c r="AA42" i="11"/>
  <c r="AB42" i="11"/>
  <c r="AC42" i="11"/>
  <c r="Y43" i="11"/>
  <c r="Z43" i="11"/>
  <c r="AA43" i="11"/>
  <c r="AB43" i="11"/>
  <c r="AC43" i="11"/>
  <c r="Y44" i="11"/>
  <c r="Z44" i="11"/>
  <c r="AA44" i="11"/>
  <c r="AB44" i="11"/>
  <c r="AC44" i="11"/>
  <c r="Z15" i="11"/>
  <c r="AA15" i="11"/>
  <c r="AB15" i="11"/>
  <c r="Y15" i="11"/>
  <c r="AL15" i="11" s="1"/>
  <c r="AL41" i="11" l="1"/>
  <c r="AL36" i="11"/>
  <c r="AL32" i="11"/>
  <c r="AL28" i="11"/>
  <c r="AL24" i="11"/>
  <c r="AL21" i="11"/>
  <c r="AL19" i="11"/>
  <c r="AL18" i="11"/>
  <c r="AL37" i="11"/>
  <c r="AL29" i="11"/>
  <c r="AL17" i="11"/>
  <c r="AL42" i="11"/>
  <c r="AL33" i="11"/>
  <c r="AL25" i="11"/>
  <c r="AL44" i="11"/>
  <c r="AL40" i="11"/>
  <c r="AL35" i="11"/>
  <c r="AL31" i="11"/>
  <c r="AL27" i="11"/>
  <c r="AL23" i="11"/>
  <c r="AL43" i="11"/>
  <c r="AL38" i="11"/>
  <c r="AL34" i="11"/>
  <c r="AL30" i="11"/>
  <c r="AL26" i="11"/>
  <c r="AL22" i="11"/>
  <c r="AL16" i="11"/>
  <c r="AL20" i="11"/>
  <c r="AM38" i="11"/>
  <c r="AM30" i="11"/>
  <c r="AM21" i="11"/>
  <c r="AM39" i="11"/>
  <c r="AM28" i="11"/>
  <c r="AM18" i="11"/>
  <c r="AL39" i="11"/>
  <c r="AM23" i="11"/>
  <c r="AM20" i="11"/>
  <c r="AM15" i="11"/>
  <c r="AN15" i="11" s="1"/>
  <c r="AM43" i="11"/>
  <c r="AM34" i="11"/>
  <c r="AM25" i="11"/>
  <c r="AM36" i="11"/>
  <c r="AM32" i="11"/>
  <c r="AN32" i="11" s="1"/>
  <c r="AO32" i="11" s="1"/>
  <c r="AM17" i="11"/>
  <c r="AM42" i="11"/>
  <c r="AM33" i="11"/>
  <c r="AM24" i="11"/>
  <c r="AM41" i="11"/>
  <c r="AM37" i="11"/>
  <c r="AM29" i="11"/>
  <c r="AM19" i="11"/>
  <c r="AN19" i="11" s="1"/>
  <c r="AO19" i="11" s="1"/>
  <c r="AM44" i="11"/>
  <c r="AM40" i="11"/>
  <c r="AM35" i="11"/>
  <c r="AM31" i="11"/>
  <c r="AM26" i="11"/>
  <c r="AM22" i="11"/>
  <c r="AN44" i="11" l="1"/>
  <c r="AO44" i="11" s="1"/>
  <c r="AN17" i="11"/>
  <c r="AO17" i="11" s="1"/>
  <c r="AN34" i="11"/>
  <c r="AO34" i="11" s="1"/>
  <c r="AN38" i="11"/>
  <c r="AO38" i="11" s="1"/>
  <c r="AN22" i="11"/>
  <c r="AO22" i="11" s="1"/>
  <c r="AN25" i="11"/>
  <c r="AO25" i="11" s="1"/>
  <c r="AN26" i="11"/>
  <c r="AO26" i="11" s="1"/>
  <c r="AN41" i="11"/>
  <c r="AO41" i="11" s="1"/>
  <c r="AN40" i="11"/>
  <c r="AO40" i="11" s="1"/>
  <c r="AN37" i="11"/>
  <c r="AO37" i="11" s="1"/>
  <c r="AN42" i="11"/>
  <c r="AO42" i="11" s="1"/>
  <c r="AN20" i="11"/>
  <c r="AO20" i="11" s="1"/>
  <c r="AN28" i="11"/>
  <c r="AO28" i="11" s="1"/>
  <c r="AN24" i="11"/>
  <c r="AO24" i="11" s="1"/>
  <c r="AN43" i="11"/>
  <c r="AO43" i="11" s="1"/>
  <c r="AN21" i="11"/>
  <c r="AO21" i="11" s="1"/>
  <c r="AN31" i="11"/>
  <c r="AO31" i="11" s="1"/>
  <c r="AN35" i="11"/>
  <c r="AO35" i="11" s="1"/>
  <c r="AN29" i="11"/>
  <c r="AO29" i="11" s="1"/>
  <c r="AN33" i="11"/>
  <c r="AO33" i="11" s="1"/>
  <c r="AN23" i="11"/>
  <c r="AO23" i="11" s="1"/>
  <c r="AN39" i="11"/>
  <c r="AO39" i="11" s="1"/>
  <c r="AN36" i="11"/>
  <c r="AO36" i="11" s="1"/>
  <c r="AN18" i="11"/>
  <c r="AO18" i="11" s="1"/>
  <c r="AN30" i="11"/>
  <c r="AO30" i="11" s="1"/>
  <c r="D95" i="11"/>
  <c r="AO15" i="11"/>
  <c r="C95" i="11" s="1"/>
  <c r="I100" i="11" l="1"/>
  <c r="J100" i="11" s="1"/>
  <c r="K100" i="11" s="1"/>
  <c r="L100" i="11" s="1"/>
  <c r="M100" i="11" s="1"/>
  <c r="N100" i="11" s="1"/>
  <c r="O100" i="11" s="1"/>
  <c r="P100" i="11" s="1"/>
  <c r="Q100" i="11" s="1"/>
  <c r="C101" i="11" l="1"/>
  <c r="R100" i="11"/>
  <c r="S100" i="11" s="1"/>
  <c r="T100" i="11" s="1"/>
  <c r="U100" i="11" s="1"/>
  <c r="V100" i="11" s="1"/>
  <c r="W100" i="11" l="1"/>
  <c r="C103" i="11"/>
  <c r="C105" i="11" s="1"/>
  <c r="X100" i="11" l="1"/>
  <c r="Y100" i="11" s="1"/>
  <c r="Z100" i="11" s="1"/>
  <c r="AA100" i="11" s="1"/>
  <c r="C107" i="11"/>
  <c r="C109" i="11" s="1"/>
</calcChain>
</file>

<file path=xl/sharedStrings.xml><?xml version="1.0" encoding="utf-8"?>
<sst xmlns="http://schemas.openxmlformats.org/spreadsheetml/2006/main" count="1879" uniqueCount="330">
  <si>
    <t>Municipal waste [env_wasmun]</t>
  </si>
  <si>
    <t>Last update</t>
  </si>
  <si>
    <t>Extracted on</t>
  </si>
  <si>
    <t>Source of data</t>
  </si>
  <si>
    <t>Eurostat</t>
  </si>
  <si>
    <t>WST_OPER</t>
  </si>
  <si>
    <t>Waste generated</t>
  </si>
  <si>
    <t>UNIT</t>
  </si>
  <si>
    <t>GEO/TIME</t>
  </si>
  <si>
    <t>2005</t>
  </si>
  <si>
    <t>2006</t>
  </si>
  <si>
    <t>2007</t>
  </si>
  <si>
    <t>2008</t>
  </si>
  <si>
    <t>2009</t>
  </si>
  <si>
    <t>2010</t>
  </si>
  <si>
    <t>2011</t>
  </si>
  <si>
    <t>European Union (28 countries)</t>
  </si>
  <si>
    <t>European Union (27 countries)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</si>
  <si>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</si>
  <si>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</si>
  <si>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</si>
  <si>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</si>
  <si>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</si>
  <si>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</si>
  <si>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</si>
  <si>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</si>
  <si>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</si>
  <si>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</si>
  <si>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</si>
  <si>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</si>
  <si>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</si>
  <si>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</si>
  <si>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</si>
  <si>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</si>
  <si>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</si>
  <si>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</si>
  <si>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</si>
  <si>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</si>
  <si>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</si>
  <si>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</si>
  <si>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</si>
  <si>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</si>
  <si>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</si>
  <si>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</si>
  <si>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</si>
  <si>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:</t>
  </si>
  <si>
    <t>Thousands of tonnes</t>
  </si>
  <si>
    <t>Germany</t>
  </si>
  <si>
    <t>Recycling</t>
  </si>
  <si>
    <t>Tonnes</t>
  </si>
  <si>
    <t>Domestic</t>
  </si>
  <si>
    <t>FLOW</t>
  </si>
  <si>
    <t>Packaging</t>
  </si>
  <si>
    <t>WASTE</t>
  </si>
  <si>
    <t>Packaging waste [env_waspac]</t>
  </si>
  <si>
    <t>Waste excluding major mineral wastes</t>
  </si>
  <si>
    <t>TIME</t>
  </si>
  <si>
    <t>Total</t>
  </si>
  <si>
    <t>HAZARD</t>
  </si>
  <si>
    <t>Millions of euro (from 1.1.1999)/Millions of ECU (up to 31.12.1998)</t>
  </si>
  <si>
    <t>%</t>
  </si>
  <si>
    <t>tonnes</t>
  </si>
  <si>
    <t>2001</t>
  </si>
  <si>
    <t>2002</t>
  </si>
  <si>
    <t>2003</t>
  </si>
  <si>
    <t>2004</t>
  </si>
  <si>
    <t>linear extrapolation</t>
  </si>
  <si>
    <t>2012</t>
  </si>
  <si>
    <t>COICOP</t>
  </si>
  <si>
    <t>Millions of euro, chain-linked volumes, reference year 2005 (at 2005 exchange rates)</t>
  </si>
  <si>
    <t>thousand tonnes</t>
  </si>
  <si>
    <t>municipal waste</t>
  </si>
  <si>
    <t>kg/inh.y</t>
  </si>
  <si>
    <t>decoupling level</t>
  </si>
  <si>
    <t>growth rate</t>
  </si>
  <si>
    <t>kg/inh.y in 2020</t>
  </si>
  <si>
    <t>generation in 2020</t>
  </si>
  <si>
    <t>EP indexed</t>
  </si>
  <si>
    <t>y-4</t>
  </si>
  <si>
    <t>y-3</t>
  </si>
  <si>
    <t>y-1</t>
  </si>
  <si>
    <t>y</t>
  </si>
  <si>
    <t>y-2</t>
  </si>
  <si>
    <t>DF indexed</t>
  </si>
  <si>
    <t>decoupling indicator</t>
  </si>
  <si>
    <t>b(EP)</t>
  </si>
  <si>
    <t>b(DF)</t>
  </si>
  <si>
    <t>D</t>
  </si>
  <si>
    <t>GDP</t>
  </si>
  <si>
    <t>future MSW generation:</t>
  </si>
  <si>
    <t>population projections:</t>
  </si>
  <si>
    <t>EU-27</t>
  </si>
  <si>
    <t>GDP growth rate:</t>
  </si>
  <si>
    <t>population growth rate</t>
  </si>
  <si>
    <t>absolute decoupling</t>
  </si>
  <si>
    <t>Material recycling</t>
  </si>
  <si>
    <t>% material recycling</t>
  </si>
  <si>
    <t>composition:</t>
  </si>
  <si>
    <t>Paper</t>
  </si>
  <si>
    <t xml:space="preserve">Furniture </t>
  </si>
  <si>
    <t>Textile</t>
  </si>
  <si>
    <t>WEEE</t>
  </si>
  <si>
    <t>Other dry</t>
  </si>
  <si>
    <t>Biowaste</t>
  </si>
  <si>
    <t xml:space="preserve">Other wet </t>
  </si>
  <si>
    <t>recycling target</t>
  </si>
  <si>
    <r>
      <rPr>
        <b/>
        <sz val="10"/>
        <rFont val="Arial"/>
        <family val="2"/>
      </rPr>
      <t>Final consumption expenditure</t>
    </r>
    <r>
      <rPr>
        <sz val="10"/>
        <rFont val="Arial"/>
        <family val="2"/>
      </rPr>
      <t xml:space="preserve"> of households by consumption purpose - COICOP 3 digit - volumes [nama_co3_k]</t>
    </r>
  </si>
  <si>
    <r>
      <rPr>
        <b/>
        <sz val="10"/>
        <rFont val="Arial"/>
        <family val="2"/>
      </rPr>
      <t>Municipal waste</t>
    </r>
    <r>
      <rPr>
        <sz val="10"/>
        <rFont val="Arial"/>
        <family val="2"/>
      </rPr>
      <t xml:space="preserve"> [env_wasmun]</t>
    </r>
  </si>
  <si>
    <t>decoupling</t>
  </si>
  <si>
    <r>
      <rPr>
        <b/>
        <sz val="10"/>
        <rFont val="Arial"/>
        <family val="2"/>
      </rPr>
      <t>Gross domestic product</t>
    </r>
    <r>
      <rPr>
        <sz val="10"/>
        <rFont val="Arial"/>
        <family val="2"/>
      </rPr>
      <t xml:space="preserve"> (GDP) at current market prices by NUTS 2 regions [nama_r_e2gdp]</t>
    </r>
  </si>
  <si>
    <t>top 3 decoupling rate</t>
  </si>
  <si>
    <t>average</t>
  </si>
  <si>
    <t>Glass packaging</t>
  </si>
  <si>
    <t>Metal packaging</t>
  </si>
  <si>
    <t>65% separate collection</t>
  </si>
  <si>
    <t>50% recycling</t>
  </si>
  <si>
    <t>GEO/WST_OPER</t>
  </si>
  <si>
    <t>Composting and digestion</t>
  </si>
  <si>
    <t>total including composting</t>
  </si>
  <si>
    <t>14% max</t>
  </si>
  <si>
    <t>average top 3</t>
  </si>
  <si>
    <t xml:space="preserve">waste source separately collected as % of total waste generated by households </t>
  </si>
  <si>
    <t>Household and similar wastes</t>
  </si>
  <si>
    <t>Plastic wastes</t>
  </si>
  <si>
    <t>Paper and cardboard wastes</t>
  </si>
  <si>
    <t>Glass wastes</t>
  </si>
  <si>
    <t>Metallic wastes</t>
  </si>
  <si>
    <t>Households</t>
  </si>
  <si>
    <t>NACE_R2</t>
  </si>
  <si>
    <t>Generation of waste [env_wasgen]</t>
  </si>
  <si>
    <t>paper</t>
  </si>
  <si>
    <t>metals</t>
  </si>
  <si>
    <t>plastics</t>
  </si>
  <si>
    <t>glass</t>
  </si>
  <si>
    <t>total generation</t>
  </si>
  <si>
    <t>generation</t>
  </si>
  <si>
    <t>source separate collection</t>
  </si>
  <si>
    <t>assessed recycling performance % (proxy)</t>
  </si>
  <si>
    <t>recycling percentage</t>
  </si>
  <si>
    <t>sum</t>
  </si>
  <si>
    <t>increase factor</t>
  </si>
  <si>
    <t>average % top 3</t>
  </si>
  <si>
    <t>maximum feasible</t>
  </si>
  <si>
    <t>Metallic packaging</t>
  </si>
  <si>
    <t>Plastic packaging</t>
  </si>
  <si>
    <t>Paper and cardboard packaging</t>
  </si>
  <si>
    <t>packaging</t>
  </si>
  <si>
    <t>paper packaging</t>
  </si>
  <si>
    <t>plastic packaging</t>
  </si>
  <si>
    <t>metal packaging</t>
  </si>
  <si>
    <t>glass packaging</t>
  </si>
  <si>
    <t>yearly growth rate</t>
  </si>
  <si>
    <t>generation per capita in EU-27 (2010)</t>
  </si>
  <si>
    <t>population in 2020</t>
  </si>
  <si>
    <t>inh</t>
  </si>
  <si>
    <t>-----&gt;</t>
  </si>
  <si>
    <t>composting</t>
  </si>
  <si>
    <t>MSW RECYCLING</t>
  </si>
  <si>
    <t>DECOUPLING INDICATOR</t>
  </si>
  <si>
    <t>Generation</t>
  </si>
  <si>
    <t>--------&gt;</t>
  </si>
  <si>
    <t>Separate collection</t>
  </si>
  <si>
    <t>based on composition</t>
  </si>
  <si>
    <t>assessment generated fractions</t>
  </si>
  <si>
    <t>Packaging waste recycling</t>
  </si>
  <si>
    <t>animal and vegetal waste</t>
  </si>
  <si>
    <t>animal vegetal waste</t>
  </si>
  <si>
    <t>biodegrad</t>
  </si>
  <si>
    <t>wood packaging</t>
  </si>
  <si>
    <t>steel packaging</t>
  </si>
  <si>
    <t>alu packaging</t>
  </si>
  <si>
    <t>% steel</t>
  </si>
  <si>
    <t>Steel packaging</t>
  </si>
  <si>
    <t>Aluminium packaging</t>
  </si>
  <si>
    <t>WASTE/WST_OPER</t>
  </si>
  <si>
    <t>GEO</t>
  </si>
  <si>
    <t>municipal solid waste generation</t>
  </si>
  <si>
    <t>year</t>
  </si>
  <si>
    <t>total</t>
  </si>
  <si>
    <t>+ tonnes</t>
  </si>
  <si>
    <t>eunomia growth assessment MSW</t>
  </si>
  <si>
    <t>MSW future generation</t>
  </si>
  <si>
    <t>plastics only</t>
  </si>
  <si>
    <r>
      <t xml:space="preserve">Eurostat's </t>
    </r>
    <r>
      <rPr>
        <b/>
        <sz val="11"/>
        <rFont val="Arial"/>
        <family val="2"/>
      </rPr>
      <t>population projection</t>
    </r>
    <r>
      <rPr>
        <sz val="11"/>
        <rFont val="Arial"/>
        <family val="2"/>
      </rPr>
      <t xml:space="preserve"> is one of several possible population change scenarios based on assumptions for fertility, mortality and migration. The method used for population projections is the "cohort-component" method. Population refers to 1st January population for the respective years</t>
    </r>
  </si>
  <si>
    <t>generation per capita in 2020</t>
  </si>
  <si>
    <t>database  [proj_10c2150p]</t>
  </si>
  <si>
    <t>generation per capita in 2025</t>
  </si>
  <si>
    <t>population in 2025</t>
  </si>
  <si>
    <t>generation in 2025</t>
  </si>
  <si>
    <t>generation per capita in 2030</t>
  </si>
  <si>
    <t>population in 2030</t>
  </si>
  <si>
    <t>generation in 2030</t>
  </si>
  <si>
    <t>in case the calculated degree of decoupling is continued</t>
  </si>
  <si>
    <t>GDP growth rate</t>
  </si>
  <si>
    <t>industrial waste yearly growth rate</t>
  </si>
  <si>
    <r>
      <t>Decoupling and growth rate for</t>
    </r>
    <r>
      <rPr>
        <b/>
        <sz val="11"/>
        <rFont val="Arial"/>
        <family val="2"/>
      </rPr>
      <t xml:space="preserve"> industrial waste</t>
    </r>
  </si>
  <si>
    <t>In case of EUNOMIA modelled MSW growth</t>
  </si>
  <si>
    <t>DF (driving force) - M.euro</t>
  </si>
  <si>
    <t>Maximum feasible scenario</t>
  </si>
  <si>
    <t>EP (environmental pressure) - kg/inh.y</t>
  </si>
  <si>
    <t>final consumption expenditure (FCE)</t>
  </si>
  <si>
    <t>FCE</t>
  </si>
  <si>
    <t>FCE growth rate:</t>
  </si>
  <si>
    <t>growth rate DF (final cons.exp.)</t>
  </si>
  <si>
    <t>Business as Usual</t>
  </si>
  <si>
    <t>Option 1 : full compliance</t>
  </si>
  <si>
    <t>Option 2 . Single calculation method</t>
  </si>
  <si>
    <t>waste framework directive</t>
  </si>
  <si>
    <t>option 3.1 higher municipal waste recycling targets</t>
  </si>
  <si>
    <t>assessed:</t>
  </si>
  <si>
    <t>four measurement methods</t>
  </si>
  <si>
    <t>option definition (high)</t>
  </si>
  <si>
    <t>option 3.2 higher packaging waste recycling targets</t>
  </si>
  <si>
    <t>as in option 2</t>
  </si>
  <si>
    <t>option 3.3 higher landfill diversion targets</t>
  </si>
  <si>
    <t>option 3.4 combination</t>
  </si>
  <si>
    <t>highest values of above options</t>
  </si>
  <si>
    <t>ranking</t>
  </si>
  <si>
    <t>plastics only scenario</t>
  </si>
  <si>
    <t>MSW paper, glass, metals plastic recycling</t>
  </si>
  <si>
    <t>recycling performance actual</t>
  </si>
  <si>
    <t>business as usual</t>
  </si>
  <si>
    <t>calculation method 1</t>
  </si>
  <si>
    <t>check</t>
  </si>
  <si>
    <t>actual recycling</t>
  </si>
  <si>
    <t>actual generation</t>
  </si>
  <si>
    <t>target finder on increase factor to obtain 50% recycling</t>
  </si>
  <si>
    <t>calculation method 2</t>
  </si>
  <si>
    <t>biodegradable</t>
  </si>
  <si>
    <t>assessed recycling</t>
  </si>
  <si>
    <t>calculation method 3 and 4</t>
  </si>
  <si>
    <t>as in calculation method 2</t>
  </si>
  <si>
    <t>assessed average</t>
  </si>
  <si>
    <t>option 2 : single calculation method</t>
  </si>
  <si>
    <t>option 1 : full implementation</t>
  </si>
  <si>
    <t>Option 3.4: combination</t>
  </si>
  <si>
    <t>Option 3.1: increased MSW recycling targets</t>
  </si>
  <si>
    <t>Option 3.2: higher packaging waste targets</t>
  </si>
  <si>
    <t>Option 3.3: specific landfill diversion targets</t>
  </si>
  <si>
    <t>paper cardboard</t>
  </si>
  <si>
    <t>all</t>
  </si>
  <si>
    <t>Samenstelling van het huishoudelijk restafval : resultaten sorteeranalyses 2012 / 
Rijkswaterstaat. – Utrecht : Rijkswaterstaat, 2013. - 37 p. : fig., tab. - ISBN 978-9491750-01-4.</t>
  </si>
  <si>
    <t>% packaging</t>
  </si>
  <si>
    <t>MSW 2012 - mixed waste fraction</t>
  </si>
  <si>
    <t>How much MSW paper plastics metals glass is packaging waste?</t>
  </si>
  <si>
    <t>packaging recycling target</t>
  </si>
  <si>
    <t>weighed recycling performance</t>
  </si>
  <si>
    <t>what is the ratio ferrous/non ferrous packaging waste</t>
  </si>
  <si>
    <t>(env_waspac)</t>
  </si>
  <si>
    <t>non packaging recycling target (BAU)</t>
  </si>
  <si>
    <t>landfill of mixed municipal waste</t>
  </si>
  <si>
    <t>treated (total)</t>
  </si>
  <si>
    <t>disposed</t>
  </si>
  <si>
    <t>% disposal</t>
  </si>
  <si>
    <t>European Union (EU28)</t>
  </si>
  <si>
    <t>European Union (EU27)</t>
  </si>
  <si>
    <t xml:space="preserve">disposed material decreases with: </t>
  </si>
  <si>
    <t>decrease 2025</t>
  </si>
  <si>
    <t>decrease 2030</t>
  </si>
  <si>
    <t>high score of option 3.1, 3.2, 3,3</t>
  </si>
  <si>
    <t>Wood MSW</t>
  </si>
  <si>
    <t xml:space="preserve">Germany </t>
  </si>
  <si>
    <t>generation ≈ source separated</t>
  </si>
  <si>
    <t>total MSW</t>
  </si>
  <si>
    <t>% wood waste</t>
  </si>
  <si>
    <t>generation assessed</t>
  </si>
  <si>
    <t>recycling assessed (%)</t>
  </si>
  <si>
    <t>reported steel</t>
  </si>
  <si>
    <t>% aluminium</t>
  </si>
  <si>
    <t>reported steel recycling</t>
  </si>
  <si>
    <t>reported alu recycling</t>
  </si>
  <si>
    <t>% steel recycling</t>
  </si>
  <si>
    <t>% alu recycling</t>
  </si>
  <si>
    <t>alu packaging recycling</t>
  </si>
  <si>
    <t>steel packaging recycling</t>
  </si>
  <si>
    <t>check : EU27</t>
  </si>
  <si>
    <t>paper and card packaging</t>
  </si>
  <si>
    <t>target</t>
  </si>
  <si>
    <t>bau</t>
  </si>
  <si>
    <t>performance</t>
  </si>
  <si>
    <t>municipal waste composition</t>
  </si>
  <si>
    <t>BAU packaging recycling</t>
  </si>
  <si>
    <t>% recycled targets</t>
  </si>
  <si>
    <t>% recycled  BAU</t>
  </si>
  <si>
    <t>targets</t>
  </si>
  <si>
    <t>parameters considered as in BAU</t>
  </si>
  <si>
    <t>Overall recycling/preparation for reuse</t>
  </si>
  <si>
    <t>Non ferrous metal packaging</t>
  </si>
  <si>
    <t>Ferrous metal packaging</t>
  </si>
  <si>
    <t>Paper/Cardboard packaging</t>
  </si>
  <si>
    <t>Wood packaging</t>
  </si>
  <si>
    <t>landfill of packaging waste</t>
  </si>
  <si>
    <t>STK_FLOW</t>
  </si>
  <si>
    <t>Recovery</t>
  </si>
  <si>
    <t>disposal</t>
  </si>
  <si>
    <t>disposal %</t>
  </si>
  <si>
    <t>WASTE/TIME</t>
  </si>
  <si>
    <t>Wooden packaging</t>
  </si>
  <si>
    <t>Special value:</t>
  </si>
  <si>
    <t>not available</t>
  </si>
  <si>
    <t>disposal rate</t>
  </si>
  <si>
    <t>disposal reduction</t>
  </si>
  <si>
    <t>4 measurement methods</t>
  </si>
  <si>
    <t>summary</t>
  </si>
  <si>
    <t>low</t>
  </si>
  <si>
    <t>high</t>
  </si>
  <si>
    <t>metal</t>
  </si>
  <si>
    <t>reported aluminium</t>
  </si>
  <si>
    <t>weighed average top three</t>
  </si>
  <si>
    <t>Deposit onto or into land</t>
  </si>
  <si>
    <t>maximum feasible scenario</t>
  </si>
  <si>
    <t>landfill municipal solid waste</t>
  </si>
  <si>
    <t>landfill packaging fractions</t>
  </si>
  <si>
    <t/>
  </si>
  <si>
    <t>top three weighed average</t>
  </si>
  <si>
    <t>Germany (until 1990 former territory of the FRG)</t>
  </si>
  <si>
    <t>Other packaging</t>
  </si>
  <si>
    <t>material name</t>
  </si>
  <si>
    <t>seacode</t>
  </si>
  <si>
    <t>source activity name</t>
  </si>
  <si>
    <t>SomVanfrequency</t>
  </si>
  <si>
    <t>plastic / polystyrene</t>
  </si>
  <si>
    <t>BAL</t>
  </si>
  <si>
    <t>consumer</t>
  </si>
  <si>
    <t>professional</t>
  </si>
  <si>
    <t>unknown</t>
  </si>
  <si>
    <t>BLA</t>
  </si>
  <si>
    <t>MED</t>
  </si>
  <si>
    <t>NOR</t>
  </si>
  <si>
    <t>marine litter plastics source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</si>
</sst>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"/>
    <numFmt numFmtId="165" formatCode="#,##0.0"/>
    <numFmt numFmtId="166" formatCode="0.0"/>
  </numFmts>
  <fonts count="26" x14ac:knownFonts="1">
    <font>
      <sz val="11"/>
      <name val="Arial"/>
      <charset val="238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499984740745262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0"/>
      <color theme="1"/>
      <name val="Arial"/>
      <family val="2"/>
    </font>
    <font>
      <b/>
      <sz val="11"/>
      <color rgb="FF0070C0"/>
      <name val="Arial"/>
      <family val="2"/>
    </font>
    <font>
      <sz val="7"/>
      <name val="Verdana"/>
      <family val="2"/>
    </font>
    <font>
      <sz val="9"/>
      <name val="Verdana"/>
      <family val="2"/>
    </font>
    <font>
      <i/>
      <sz val="10"/>
      <color rgb="FF0070C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24" fillId="0" borderId="0"/>
  </cellStyleXfs>
  <cellXfs count="362">
    <xf numFmtId="0" fontId="0" fillId="0" borderId="0" xfId="0"/>
    <xf numFmtId="0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4" fillId="2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0" fontId="5" fillId="0" borderId="0" xfId="1"/>
    <xf numFmtId="3" fontId="6" fillId="0" borderId="1" xfId="1" applyNumberFormat="1" applyFont="1" applyFill="1" applyBorder="1" applyAlignment="1"/>
    <xf numFmtId="0" fontId="6" fillId="2" borderId="1" xfId="1" applyNumberFormat="1" applyFont="1" applyFill="1" applyBorder="1" applyAlignment="1"/>
    <xf numFmtId="0" fontId="6" fillId="0" borderId="1" xfId="1" applyNumberFormat="1" applyFont="1" applyFill="1" applyBorder="1" applyAlignment="1"/>
    <xf numFmtId="165" fontId="6" fillId="0" borderId="1" xfId="1" applyNumberFormat="1" applyFont="1" applyFill="1" applyBorder="1" applyAlignment="1"/>
    <xf numFmtId="0" fontId="6" fillId="0" borderId="0" xfId="1" applyNumberFormat="1" applyFont="1" applyFill="1" applyBorder="1" applyAlignment="1"/>
    <xf numFmtId="164" fontId="6" fillId="0" borderId="0" xfId="1" applyNumberFormat="1" applyFont="1" applyFill="1" applyBorder="1" applyAlignment="1"/>
    <xf numFmtId="0" fontId="5" fillId="3" borderId="0" xfId="1" applyFill="1"/>
    <xf numFmtId="0" fontId="6" fillId="2" borderId="1" xfId="1" applyNumberFormat="1" applyFont="1" applyFill="1" applyBorder="1" applyAlignment="1">
      <alignment wrapText="1"/>
    </xf>
    <xf numFmtId="2" fontId="5" fillId="0" borderId="0" xfId="1" applyNumberFormat="1"/>
    <xf numFmtId="3" fontId="0" fillId="0" borderId="0" xfId="0" applyNumberFormat="1"/>
    <xf numFmtId="0" fontId="5" fillId="0" borderId="0" xfId="0" applyFont="1"/>
    <xf numFmtId="0" fontId="5" fillId="0" borderId="0" xfId="1" applyFill="1"/>
    <xf numFmtId="0" fontId="6" fillId="2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1" fontId="0" fillId="0" borderId="0" xfId="0" applyNumberFormat="1"/>
    <xf numFmtId="0" fontId="5" fillId="0" borderId="5" xfId="0" applyFont="1" applyBorder="1"/>
    <xf numFmtId="0" fontId="0" fillId="0" borderId="6" xfId="0" applyBorder="1"/>
    <xf numFmtId="3" fontId="6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0" fillId="0" borderId="0" xfId="0" applyBorder="1"/>
    <xf numFmtId="0" fontId="0" fillId="0" borderId="9" xfId="0" applyBorder="1"/>
    <xf numFmtId="3" fontId="6" fillId="0" borderId="0" xfId="0" applyNumberFormat="1" applyFont="1" applyBorder="1"/>
    <xf numFmtId="4" fontId="6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6" fillId="2" borderId="3" xfId="1" applyNumberFormat="1" applyFont="1" applyFill="1" applyBorder="1" applyAlignment="1"/>
    <xf numFmtId="3" fontId="6" fillId="0" borderId="13" xfId="0" applyNumberFormat="1" applyFont="1" applyFill="1" applyBorder="1" applyAlignment="1"/>
    <xf numFmtId="3" fontId="6" fillId="0" borderId="14" xfId="0" applyNumberFormat="1" applyFont="1" applyFill="1" applyBorder="1" applyAlignment="1"/>
    <xf numFmtId="3" fontId="6" fillId="0" borderId="15" xfId="0" applyNumberFormat="1" applyFont="1" applyFill="1" applyBorder="1" applyAlignment="1"/>
    <xf numFmtId="0" fontId="5" fillId="0" borderId="2" xfId="1" applyBorder="1"/>
    <xf numFmtId="0" fontId="5" fillId="0" borderId="0" xfId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/>
    </xf>
    <xf numFmtId="2" fontId="5" fillId="0" borderId="2" xfId="1" applyNumberFormat="1" applyBorder="1"/>
    <xf numFmtId="2" fontId="5" fillId="0" borderId="0" xfId="1" applyNumberFormat="1" applyBorder="1"/>
    <xf numFmtId="0" fontId="0" fillId="0" borderId="0" xfId="0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1" fontId="0" fillId="3" borderId="0" xfId="0" applyNumberFormat="1" applyFill="1"/>
    <xf numFmtId="3" fontId="0" fillId="3" borderId="0" xfId="0" applyNumberFormat="1" applyFill="1"/>
    <xf numFmtId="1" fontId="0" fillId="0" borderId="0" xfId="0" applyNumberFormat="1" applyBorder="1" applyAlignment="1">
      <alignment horizontal="right"/>
    </xf>
    <xf numFmtId="3" fontId="0" fillId="0" borderId="0" xfId="0" applyNumberFormat="1" applyBorder="1"/>
    <xf numFmtId="3" fontId="8" fillId="4" borderId="0" xfId="0" applyNumberFormat="1" applyFont="1" applyFill="1" applyBorder="1"/>
    <xf numFmtId="0" fontId="9" fillId="4" borderId="0" xfId="0" applyFont="1" applyFill="1" applyBorder="1"/>
    <xf numFmtId="0" fontId="5" fillId="0" borderId="10" xfId="1" applyBorder="1"/>
    <xf numFmtId="0" fontId="5" fillId="0" borderId="12" xfId="1" applyBorder="1"/>
    <xf numFmtId="0" fontId="5" fillId="0" borderId="5" xfId="1" applyBorder="1"/>
    <xf numFmtId="0" fontId="5" fillId="0" borderId="7" xfId="1" applyBorder="1"/>
    <xf numFmtId="0" fontId="5" fillId="0" borderId="6" xfId="1" applyBorder="1"/>
    <xf numFmtId="4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/>
    <xf numFmtId="0" fontId="9" fillId="0" borderId="0" xfId="1" applyFont="1"/>
    <xf numFmtId="3" fontId="5" fillId="0" borderId="0" xfId="1" applyNumberFormat="1"/>
    <xf numFmtId="4" fontId="6" fillId="0" borderId="0" xfId="0" applyNumberFormat="1" applyFont="1" applyFill="1" applyBorder="1"/>
    <xf numFmtId="0" fontId="10" fillId="0" borderId="0" xfId="1" applyFont="1"/>
    <xf numFmtId="2" fontId="10" fillId="0" borderId="0" xfId="1" applyNumberFormat="1" applyFont="1"/>
    <xf numFmtId="0" fontId="5" fillId="0" borderId="8" xfId="1" applyBorder="1"/>
    <xf numFmtId="0" fontId="5" fillId="0" borderId="0" xfId="1" applyBorder="1"/>
    <xf numFmtId="0" fontId="5" fillId="0" borderId="9" xfId="1" applyBorder="1"/>
    <xf numFmtId="0" fontId="5" fillId="0" borderId="11" xfId="0" applyFont="1" applyBorder="1" applyAlignment="1">
      <alignment horizontal="right"/>
    </xf>
    <xf numFmtId="3" fontId="8" fillId="4" borderId="11" xfId="0" applyNumberFormat="1" applyFont="1" applyFill="1" applyBorder="1"/>
    <xf numFmtId="0" fontId="9" fillId="4" borderId="11" xfId="0" applyFont="1" applyFill="1" applyBorder="1"/>
    <xf numFmtId="0" fontId="5" fillId="0" borderId="2" xfId="1" applyBorder="1" applyAlignment="1">
      <alignment horizontal="right"/>
    </xf>
    <xf numFmtId="0" fontId="5" fillId="0" borderId="2" xfId="1" applyBorder="1" applyAlignment="1">
      <alignment horizontal="center" vertical="top"/>
    </xf>
    <xf numFmtId="0" fontId="5" fillId="0" borderId="2" xfId="1" applyBorder="1" applyAlignment="1">
      <alignment horizontal="center" vertical="center"/>
    </xf>
    <xf numFmtId="0" fontId="5" fillId="0" borderId="2" xfId="1" applyBorder="1" applyAlignment="1">
      <alignment horizontal="center"/>
    </xf>
    <xf numFmtId="164" fontId="6" fillId="0" borderId="0" xfId="0" applyNumberFormat="1" applyFont="1" applyFill="1" applyBorder="1" applyAlignment="1"/>
    <xf numFmtId="1" fontId="5" fillId="0" borderId="2" xfId="1" applyNumberFormat="1" applyBorder="1" applyAlignment="1">
      <alignment horizontal="center" vertical="center"/>
    </xf>
    <xf numFmtId="2" fontId="0" fillId="0" borderId="0" xfId="0" applyNumberFormat="1"/>
    <xf numFmtId="2" fontId="11" fillId="0" borderId="2" xfId="1" applyNumberFormat="1" applyFont="1" applyBorder="1"/>
    <xf numFmtId="0" fontId="5" fillId="0" borderId="2" xfId="1" applyBorder="1" applyAlignment="1">
      <alignment textRotation="45"/>
    </xf>
    <xf numFmtId="3" fontId="5" fillId="0" borderId="2" xfId="1" applyNumberFormat="1" applyBorder="1"/>
    <xf numFmtId="0" fontId="5" fillId="0" borderId="19" xfId="1" applyBorder="1"/>
    <xf numFmtId="0" fontId="5" fillId="0" borderId="20" xfId="1" applyBorder="1"/>
    <xf numFmtId="0" fontId="5" fillId="0" borderId="20" xfId="1" applyBorder="1" applyAlignment="1">
      <alignment horizontal="right"/>
    </xf>
    <xf numFmtId="0" fontId="5" fillId="0" borderId="21" xfId="1" applyBorder="1" applyAlignment="1">
      <alignment horizontal="right"/>
    </xf>
    <xf numFmtId="3" fontId="5" fillId="0" borderId="20" xfId="1" applyNumberFormat="1" applyBorder="1"/>
    <xf numFmtId="3" fontId="5" fillId="0" borderId="21" xfId="1" applyNumberForma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3" fontId="5" fillId="0" borderId="8" xfId="1" applyNumberFormat="1" applyBorder="1"/>
    <xf numFmtId="3" fontId="5" fillId="0" borderId="0" xfId="1" applyNumberFormat="1" applyBorder="1"/>
    <xf numFmtId="3" fontId="5" fillId="0" borderId="10" xfId="1" applyNumberFormat="1" applyBorder="1"/>
    <xf numFmtId="3" fontId="5" fillId="0" borderId="11" xfId="1" applyNumberFormat="1" applyBorder="1"/>
    <xf numFmtId="0" fontId="13" fillId="0" borderId="21" xfId="1" applyFont="1" applyBorder="1" applyAlignment="1">
      <alignment vertical="top" wrapText="1"/>
    </xf>
    <xf numFmtId="9" fontId="5" fillId="0" borderId="10" xfId="1" applyNumberFormat="1" applyBorder="1" applyAlignment="1">
      <alignment horizontal="center" vertical="center"/>
    </xf>
    <xf numFmtId="9" fontId="5" fillId="0" borderId="11" xfId="1" applyNumberFormat="1" applyBorder="1" applyAlignment="1">
      <alignment horizontal="center" vertical="center"/>
    </xf>
    <xf numFmtId="1" fontId="5" fillId="0" borderId="8" xfId="1" applyNumberFormat="1" applyBorder="1"/>
    <xf numFmtId="1" fontId="5" fillId="0" borderId="0" xfId="1" applyNumberFormat="1" applyBorder="1"/>
    <xf numFmtId="1" fontId="5" fillId="0" borderId="10" xfId="1" applyNumberFormat="1" applyBorder="1"/>
    <xf numFmtId="1" fontId="5" fillId="0" borderId="11" xfId="1" applyNumberFormat="1" applyBorder="1"/>
    <xf numFmtId="0" fontId="6" fillId="0" borderId="0" xfId="1" applyFont="1" applyBorder="1" applyAlignment="1">
      <alignment horizontal="center" vertical="center"/>
    </xf>
    <xf numFmtId="0" fontId="5" fillId="0" borderId="0" xfId="1" applyBorder="1" applyAlignment="1">
      <alignment horizontal="center"/>
    </xf>
    <xf numFmtId="1" fontId="5" fillId="5" borderId="8" xfId="1" applyNumberFormat="1" applyFill="1" applyBorder="1"/>
    <xf numFmtId="1" fontId="5" fillId="5" borderId="0" xfId="1" applyNumberFormat="1" applyFill="1" applyBorder="1"/>
    <xf numFmtId="0" fontId="0" fillId="0" borderId="0" xfId="0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3" fontId="4" fillId="3" borderId="22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2" fontId="5" fillId="0" borderId="12" xfId="1" applyNumberFormat="1" applyBorder="1"/>
    <xf numFmtId="0" fontId="5" fillId="0" borderId="0" xfId="1" applyFont="1"/>
    <xf numFmtId="0" fontId="4" fillId="0" borderId="0" xfId="1" applyNumberFormat="1" applyFont="1" applyFill="1" applyBorder="1" applyAlignment="1"/>
    <xf numFmtId="0" fontId="5" fillId="0" borderId="0" xfId="1" applyAlignment="1">
      <alignment horizontal="right"/>
    </xf>
    <xf numFmtId="4" fontId="4" fillId="0" borderId="0" xfId="0" applyNumberFormat="1" applyFont="1" applyBorder="1"/>
    <xf numFmtId="0" fontId="5" fillId="0" borderId="0" xfId="1" applyBorder="1" applyAlignment="1">
      <alignment horizontal="right"/>
    </xf>
    <xf numFmtId="0" fontId="5" fillId="0" borderId="0" xfId="1" quotePrefix="1"/>
    <xf numFmtId="0" fontId="6" fillId="6" borderId="0" xfId="1" applyNumberFormat="1" applyFont="1" applyFill="1" applyBorder="1" applyAlignment="1"/>
    <xf numFmtId="0" fontId="5" fillId="6" borderId="0" xfId="1" applyFill="1"/>
    <xf numFmtId="164" fontId="6" fillId="6" borderId="0" xfId="1" applyNumberFormat="1" applyFont="1" applyFill="1" applyBorder="1" applyAlignment="1"/>
    <xf numFmtId="0" fontId="6" fillId="6" borderId="14" xfId="1" applyNumberFormat="1" applyFont="1" applyFill="1" applyBorder="1" applyAlignment="1"/>
    <xf numFmtId="0" fontId="6" fillId="6" borderId="1" xfId="1" applyNumberFormat="1" applyFont="1" applyFill="1" applyBorder="1" applyAlignment="1"/>
    <xf numFmtId="0" fontId="5" fillId="6" borderId="5" xfId="1" applyFill="1" applyBorder="1"/>
    <xf numFmtId="0" fontId="5" fillId="6" borderId="7" xfId="1" applyFill="1" applyBorder="1"/>
    <xf numFmtId="0" fontId="5" fillId="6" borderId="2" xfId="1" applyFill="1" applyBorder="1"/>
    <xf numFmtId="3" fontId="6" fillId="6" borderId="13" xfId="1" applyNumberFormat="1" applyFont="1" applyFill="1" applyBorder="1" applyAlignment="1"/>
    <xf numFmtId="2" fontId="5" fillId="6" borderId="10" xfId="1" applyNumberFormat="1" applyFill="1" applyBorder="1"/>
    <xf numFmtId="0" fontId="5" fillId="6" borderId="12" xfId="1" applyFill="1" applyBorder="1"/>
    <xf numFmtId="0" fontId="12" fillId="6" borderId="2" xfId="1" applyFont="1" applyFill="1" applyBorder="1" applyAlignment="1">
      <alignment horizontal="left"/>
    </xf>
    <xf numFmtId="0" fontId="5" fillId="7" borderId="0" xfId="1" applyFill="1"/>
    <xf numFmtId="0" fontId="9" fillId="7" borderId="0" xfId="0" applyFont="1" applyFill="1" applyAlignment="1">
      <alignment horizontal="center" vertical="center" wrapText="1"/>
    </xf>
    <xf numFmtId="0" fontId="0" fillId="7" borderId="0" xfId="0" applyFill="1"/>
    <xf numFmtId="0" fontId="5" fillId="7" borderId="5" xfId="1" applyFill="1" applyBorder="1"/>
    <xf numFmtId="0" fontId="5" fillId="7" borderId="6" xfId="1" applyFill="1" applyBorder="1"/>
    <xf numFmtId="0" fontId="5" fillId="7" borderId="7" xfId="1" applyFill="1" applyBorder="1"/>
    <xf numFmtId="0" fontId="0" fillId="7" borderId="10" xfId="0" applyFill="1" applyBorder="1"/>
    <xf numFmtId="2" fontId="5" fillId="7" borderId="11" xfId="1" applyNumberFormat="1" applyFill="1" applyBorder="1"/>
    <xf numFmtId="0" fontId="5" fillId="7" borderId="12" xfId="1" applyFill="1" applyBorder="1"/>
    <xf numFmtId="0" fontId="9" fillId="0" borderId="0" xfId="1" quotePrefix="1" applyFont="1"/>
    <xf numFmtId="0" fontId="6" fillId="7" borderId="0" xfId="0" applyNumberFormat="1" applyFont="1" applyFill="1" applyBorder="1" applyAlignment="1"/>
    <xf numFmtId="164" fontId="6" fillId="7" borderId="0" xfId="0" applyNumberFormat="1" applyFont="1" applyFill="1" applyBorder="1" applyAlignment="1"/>
    <xf numFmtId="0" fontId="6" fillId="7" borderId="1" xfId="0" applyNumberFormat="1" applyFont="1" applyFill="1" applyBorder="1" applyAlignment="1"/>
    <xf numFmtId="3" fontId="6" fillId="7" borderId="1" xfId="0" applyNumberFormat="1" applyFont="1" applyFill="1" applyBorder="1" applyAlignment="1"/>
    <xf numFmtId="2" fontId="0" fillId="7" borderId="0" xfId="0" applyNumberFormat="1" applyFill="1"/>
    <xf numFmtId="0" fontId="5" fillId="7" borderId="0" xfId="0" applyFont="1" applyFill="1"/>
    <xf numFmtId="0" fontId="9" fillId="3" borderId="0" xfId="1" applyFont="1" applyFill="1"/>
    <xf numFmtId="0" fontId="5" fillId="3" borderId="0" xfId="0" applyFont="1" applyFill="1"/>
    <xf numFmtId="0" fontId="9" fillId="0" borderId="0" xfId="0" applyFont="1"/>
    <xf numFmtId="0" fontId="0" fillId="0" borderId="0" xfId="0" applyFill="1"/>
    <xf numFmtId="0" fontId="6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0" fontId="3" fillId="0" borderId="0" xfId="2"/>
    <xf numFmtId="2" fontId="3" fillId="0" borderId="0" xfId="2" applyNumberFormat="1"/>
    <xf numFmtId="3" fontId="3" fillId="0" borderId="0" xfId="2" applyNumberFormat="1"/>
    <xf numFmtId="0" fontId="4" fillId="0" borderId="0" xfId="0" applyFont="1" applyAlignment="1">
      <alignment horizontal="left" vertical="center"/>
    </xf>
    <xf numFmtId="0" fontId="15" fillId="0" borderId="0" xfId="0" applyFont="1"/>
    <xf numFmtId="0" fontId="4" fillId="8" borderId="23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4" fillId="8" borderId="25" xfId="0" applyFont="1" applyFill="1" applyBorder="1" applyAlignment="1">
      <alignment horizontal="left" vertical="center"/>
    </xf>
    <xf numFmtId="3" fontId="4" fillId="0" borderId="26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5" fillId="0" borderId="25" xfId="0" applyFont="1" applyBorder="1" applyAlignment="1">
      <alignment horizontal="justify" vertical="center" wrapText="1"/>
    </xf>
    <xf numFmtId="0" fontId="15" fillId="0" borderId="24" xfId="0" quotePrefix="1" applyFont="1" applyBorder="1" applyAlignment="1">
      <alignment horizontal="justify" vertical="center" wrapText="1"/>
    </xf>
    <xf numFmtId="3" fontId="15" fillId="0" borderId="26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justify" vertical="center" wrapText="1"/>
    </xf>
    <xf numFmtId="0" fontId="9" fillId="0" borderId="0" xfId="0" applyFont="1" applyFill="1"/>
    <xf numFmtId="3" fontId="15" fillId="3" borderId="26" xfId="0" applyNumberFormat="1" applyFont="1" applyFill="1" applyBorder="1" applyAlignment="1">
      <alignment horizontal="justify" vertical="center" wrapText="1"/>
    </xf>
    <xf numFmtId="2" fontId="15" fillId="3" borderId="26" xfId="0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5" fillId="9" borderId="0" xfId="1" applyFill="1"/>
    <xf numFmtId="0" fontId="0" fillId="9" borderId="0" xfId="0" applyFill="1"/>
    <xf numFmtId="3" fontId="4" fillId="9" borderId="0" xfId="1" applyNumberFormat="1" applyFont="1" applyFill="1"/>
    <xf numFmtId="0" fontId="9" fillId="9" borderId="0" xfId="0" applyFont="1" applyFill="1" applyAlignment="1">
      <alignment horizontal="center" vertical="center" wrapText="1"/>
    </xf>
    <xf numFmtId="2" fontId="5" fillId="3" borderId="2" xfId="1" applyNumberFormat="1" applyFill="1" applyBorder="1"/>
    <xf numFmtId="0" fontId="5" fillId="10" borderId="0" xfId="1" applyFill="1"/>
    <xf numFmtId="0" fontId="9" fillId="10" borderId="0" xfId="0" applyFont="1" applyFill="1" applyAlignment="1">
      <alignment horizontal="center" vertical="center" wrapText="1"/>
    </xf>
    <xf numFmtId="0" fontId="0" fillId="10" borderId="0" xfId="0" applyFill="1"/>
    <xf numFmtId="2" fontId="0" fillId="10" borderId="0" xfId="0" applyNumberFormat="1" applyFill="1"/>
    <xf numFmtId="0" fontId="5" fillId="10" borderId="0" xfId="0" applyFont="1" applyFill="1"/>
    <xf numFmtId="3" fontId="5" fillId="0" borderId="0" xfId="0" applyNumberFormat="1" applyFont="1" applyBorder="1" applyAlignment="1">
      <alignment horizontal="right"/>
    </xf>
    <xf numFmtId="4" fontId="8" fillId="4" borderId="0" xfId="0" applyNumberFormat="1" applyFont="1" applyFill="1" applyBorder="1"/>
    <xf numFmtId="0" fontId="5" fillId="0" borderId="0" xfId="0" applyFont="1" applyBorder="1" applyAlignment="1">
      <alignment horizontal="left"/>
    </xf>
    <xf numFmtId="3" fontId="7" fillId="6" borderId="13" xfId="1" applyNumberFormat="1" applyFont="1" applyFill="1" applyBorder="1" applyAlignment="1"/>
    <xf numFmtId="0" fontId="12" fillId="0" borderId="0" xfId="1" applyFont="1" applyBorder="1"/>
    <xf numFmtId="3" fontId="12" fillId="0" borderId="0" xfId="0" applyNumberFormat="1" applyFont="1" applyBorder="1" applyAlignment="1">
      <alignment horizontal="right"/>
    </xf>
    <xf numFmtId="0" fontId="5" fillId="3" borderId="0" xfId="1" applyFill="1" applyBorder="1"/>
    <xf numFmtId="0" fontId="5" fillId="3" borderId="0" xfId="0" applyFont="1" applyFill="1" applyBorder="1" applyAlignment="1">
      <alignment horizontal="right"/>
    </xf>
    <xf numFmtId="3" fontId="8" fillId="3" borderId="0" xfId="0" applyNumberFormat="1" applyFont="1" applyFill="1" applyBorder="1"/>
    <xf numFmtId="0" fontId="0" fillId="0" borderId="10" xfId="0" applyBorder="1"/>
    <xf numFmtId="0" fontId="0" fillId="0" borderId="12" xfId="0" applyBorder="1"/>
    <xf numFmtId="0" fontId="5" fillId="6" borderId="2" xfId="1" applyFont="1" applyFill="1" applyBorder="1" applyAlignment="1">
      <alignment horizontal="left"/>
    </xf>
    <xf numFmtId="0" fontId="5" fillId="11" borderId="0" xfId="1" applyFill="1"/>
    <xf numFmtId="0" fontId="5" fillId="11" borderId="5" xfId="1" applyFill="1" applyBorder="1"/>
    <xf numFmtId="0" fontId="5" fillId="11" borderId="7" xfId="1" applyFill="1" applyBorder="1"/>
    <xf numFmtId="0" fontId="5" fillId="11" borderId="2" xfId="1" applyFill="1" applyBorder="1"/>
    <xf numFmtId="3" fontId="6" fillId="11" borderId="2" xfId="1" applyNumberFormat="1" applyFont="1" applyFill="1" applyBorder="1" applyAlignment="1"/>
    <xf numFmtId="2" fontId="5" fillId="11" borderId="10" xfId="1" applyNumberFormat="1" applyFill="1" applyBorder="1"/>
    <xf numFmtId="0" fontId="5" fillId="11" borderId="12" xfId="1" applyFill="1" applyBorder="1"/>
    <xf numFmtId="0" fontId="5" fillId="11" borderId="0" xfId="1" applyFill="1" applyAlignment="1">
      <alignment horizontal="left" vertical="top"/>
    </xf>
    <xf numFmtId="3" fontId="7" fillId="11" borderId="2" xfId="1" applyNumberFormat="1" applyFont="1" applyFill="1" applyBorder="1" applyAlignment="1"/>
    <xf numFmtId="1" fontId="5" fillId="0" borderId="0" xfId="1" applyNumberFormat="1"/>
    <xf numFmtId="1" fontId="5" fillId="3" borderId="0" xfId="1" applyNumberFormat="1" applyFill="1"/>
    <xf numFmtId="0" fontId="0" fillId="0" borderId="11" xfId="0" applyBorder="1" applyAlignment="1">
      <alignment horizontal="right"/>
    </xf>
    <xf numFmtId="3" fontId="6" fillId="0" borderId="11" xfId="0" applyNumberFormat="1" applyFont="1" applyBorder="1"/>
    <xf numFmtId="0" fontId="0" fillId="0" borderId="11" xfId="0" applyBorder="1"/>
    <xf numFmtId="3" fontId="4" fillId="0" borderId="1" xfId="1" applyNumberFormat="1" applyFont="1" applyFill="1" applyBorder="1" applyAlignment="1"/>
    <xf numFmtId="0" fontId="16" fillId="0" borderId="0" xfId="1" applyFont="1" applyFill="1"/>
    <xf numFmtId="0" fontId="5" fillId="0" borderId="2" xfId="1" applyFill="1" applyBorder="1" applyAlignment="1">
      <alignment textRotation="45"/>
    </xf>
    <xf numFmtId="2" fontId="5" fillId="0" borderId="21" xfId="1" applyNumberFormat="1" applyBorder="1"/>
    <xf numFmtId="2" fontId="5" fillId="0" borderId="2" xfId="1" applyNumberFormat="1" applyFill="1" applyBorder="1"/>
    <xf numFmtId="0" fontId="5" fillId="0" borderId="9" xfId="1" applyFill="1" applyBorder="1" applyAlignment="1">
      <alignment textRotation="45"/>
    </xf>
    <xf numFmtId="0" fontId="6" fillId="0" borderId="0" xfId="1" applyFont="1" applyBorder="1" applyAlignment="1">
      <alignment horizontal="center" vertical="top" wrapText="1"/>
    </xf>
    <xf numFmtId="2" fontId="5" fillId="0" borderId="0" xfId="1" applyNumberFormat="1" applyFill="1" applyBorder="1"/>
    <xf numFmtId="3" fontId="5" fillId="0" borderId="9" xfId="1" applyNumberFormat="1" applyFill="1" applyBorder="1"/>
    <xf numFmtId="0" fontId="5" fillId="0" borderId="7" xfId="1" applyFill="1" applyBorder="1"/>
    <xf numFmtId="3" fontId="5" fillId="0" borderId="12" xfId="1" applyNumberFormat="1" applyFill="1" applyBorder="1"/>
    <xf numFmtId="1" fontId="5" fillId="0" borderId="9" xfId="1" applyNumberFormat="1" applyFill="1" applyBorder="1"/>
    <xf numFmtId="1" fontId="5" fillId="0" borderId="12" xfId="1" applyNumberFormat="1" applyFill="1" applyBorder="1"/>
    <xf numFmtId="0" fontId="5" fillId="0" borderId="7" xfId="1" applyFill="1" applyBorder="1" applyAlignment="1">
      <alignment horizontal="center"/>
    </xf>
    <xf numFmtId="9" fontId="5" fillId="0" borderId="12" xfId="1" applyNumberFormat="1" applyFill="1" applyBorder="1" applyAlignment="1">
      <alignment horizontal="center" vertical="center"/>
    </xf>
    <xf numFmtId="3" fontId="5" fillId="0" borderId="16" xfId="1" applyNumberFormat="1" applyBorder="1"/>
    <xf numFmtId="3" fontId="5" fillId="0" borderId="17" xfId="1" applyNumberFormat="1" applyBorder="1"/>
    <xf numFmtId="3" fontId="5" fillId="0" borderId="18" xfId="1" applyNumberFormat="1" applyFill="1" applyBorder="1"/>
    <xf numFmtId="1" fontId="5" fillId="0" borderId="16" xfId="1" applyNumberFormat="1" applyBorder="1"/>
    <xf numFmtId="1" fontId="5" fillId="0" borderId="17" xfId="1" applyNumberFormat="1" applyBorder="1"/>
    <xf numFmtId="1" fontId="5" fillId="0" borderId="18" xfId="1" applyNumberFormat="1" applyFill="1" applyBorder="1"/>
    <xf numFmtId="0" fontId="12" fillId="0" borderId="0" xfId="1" applyFont="1"/>
    <xf numFmtId="0" fontId="15" fillId="0" borderId="0" xfId="0" applyFont="1" applyAlignment="1">
      <alignment horizontal="justify" vertical="center"/>
    </xf>
    <xf numFmtId="9" fontId="17" fillId="0" borderId="0" xfId="1" applyNumberFormat="1" applyFont="1"/>
    <xf numFmtId="1" fontId="9" fillId="0" borderId="0" xfId="1" applyNumberFormat="1" applyFont="1"/>
    <xf numFmtId="1" fontId="19" fillId="0" borderId="0" xfId="1" applyNumberFormat="1" applyFont="1"/>
    <xf numFmtId="0" fontId="5" fillId="0" borderId="0" xfId="1" applyAlignment="1">
      <alignment horizontal="center"/>
    </xf>
    <xf numFmtId="2" fontId="5" fillId="0" borderId="8" xfId="1" applyNumberFormat="1" applyBorder="1"/>
    <xf numFmtId="2" fontId="5" fillId="0" borderId="10" xfId="1" applyNumberFormat="1" applyBorder="1"/>
    <xf numFmtId="2" fontId="5" fillId="0" borderId="11" xfId="1" applyNumberFormat="1" applyBorder="1"/>
    <xf numFmtId="2" fontId="5" fillId="0" borderId="5" xfId="1" applyNumberFormat="1" applyBorder="1"/>
    <xf numFmtId="2" fontId="5" fillId="0" borderId="9" xfId="1" applyNumberFormat="1" applyBorder="1"/>
    <xf numFmtId="2" fontId="5" fillId="0" borderId="6" xfId="1" applyNumberFormat="1" applyBorder="1"/>
    <xf numFmtId="2" fontId="5" fillId="0" borderId="7" xfId="1" applyNumberFormat="1" applyBorder="1"/>
    <xf numFmtId="0" fontId="4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4" fontId="21" fillId="0" borderId="26" xfId="0" applyNumberFormat="1" applyFont="1" applyBorder="1" applyAlignment="1">
      <alignment horizontal="right" vertical="center" wrapText="1"/>
    </xf>
    <xf numFmtId="10" fontId="21" fillId="0" borderId="26" xfId="0" applyNumberFormat="1" applyFont="1" applyBorder="1" applyAlignment="1">
      <alignment horizontal="right" vertical="center" wrapText="1"/>
    </xf>
    <xf numFmtId="14" fontId="3" fillId="0" borderId="0" xfId="2" applyNumberFormat="1"/>
    <xf numFmtId="0" fontId="2" fillId="0" borderId="0" xfId="2" applyFont="1"/>
    <xf numFmtId="0" fontId="3" fillId="0" borderId="0" xfId="2" applyAlignment="1">
      <alignment horizontal="right"/>
    </xf>
    <xf numFmtId="0" fontId="2" fillId="0" borderId="0" xfId="2" applyFont="1" applyAlignment="1">
      <alignment horizontal="right"/>
    </xf>
    <xf numFmtId="2" fontId="3" fillId="0" borderId="0" xfId="2" applyNumberFormat="1" applyFill="1"/>
    <xf numFmtId="2" fontId="2" fillId="0" borderId="0" xfId="2" applyNumberFormat="1" applyFont="1" applyFill="1" applyAlignment="1">
      <alignment horizontal="right"/>
    </xf>
    <xf numFmtId="0" fontId="18" fillId="0" borderId="0" xfId="2" applyFont="1"/>
    <xf numFmtId="3" fontId="3" fillId="0" borderId="0" xfId="2" applyNumberFormat="1" applyAlignment="1">
      <alignment horizontal="right"/>
    </xf>
    <xf numFmtId="3" fontId="18" fillId="0" borderId="0" xfId="2" applyNumberFormat="1" applyFont="1" applyAlignment="1">
      <alignment horizontal="right"/>
    </xf>
    <xf numFmtId="2" fontId="18" fillId="0" borderId="0" xfId="2" applyNumberFormat="1" applyFont="1" applyFill="1"/>
    <xf numFmtId="3" fontId="22" fillId="0" borderId="0" xfId="2" applyNumberFormat="1" applyFont="1" applyAlignment="1">
      <alignment horizontal="right"/>
    </xf>
    <xf numFmtId="2" fontId="22" fillId="0" borderId="0" xfId="2" applyNumberFormat="1" applyFont="1" applyFill="1"/>
    <xf numFmtId="3" fontId="7" fillId="0" borderId="1" xfId="0" applyNumberFormat="1" applyFont="1" applyFill="1" applyBorder="1" applyAlignment="1"/>
    <xf numFmtId="3" fontId="22" fillId="0" borderId="1" xfId="0" applyNumberFormat="1" applyFont="1" applyFill="1" applyBorder="1" applyAlignment="1"/>
    <xf numFmtId="3" fontId="22" fillId="0" borderId="4" xfId="0" applyNumberFormat="1" applyFont="1" applyFill="1" applyBorder="1" applyAlignment="1">
      <alignment horizontal="center"/>
    </xf>
    <xf numFmtId="3" fontId="22" fillId="3" borderId="4" xfId="0" applyNumberFormat="1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/>
    <xf numFmtId="2" fontId="0" fillId="0" borderId="0" xfId="0" applyNumberFormat="1" applyFill="1" applyBorder="1"/>
    <xf numFmtId="3" fontId="4" fillId="0" borderId="0" xfId="0" applyNumberFormat="1" applyFont="1" applyFill="1" applyBorder="1" applyAlignment="1"/>
    <xf numFmtId="2" fontId="9" fillId="0" borderId="0" xfId="0" applyNumberFormat="1" applyFont="1" applyFill="1" applyBorder="1"/>
    <xf numFmtId="0" fontId="23" fillId="0" borderId="0" xfId="0" applyFon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9" fillId="0" borderId="2" xfId="0" applyFont="1" applyBorder="1"/>
    <xf numFmtId="3" fontId="0" fillId="0" borderId="2" xfId="0" applyNumberFormat="1" applyBorder="1"/>
    <xf numFmtId="0" fontId="9" fillId="0" borderId="2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center"/>
    </xf>
    <xf numFmtId="0" fontId="0" fillId="0" borderId="19" xfId="0" applyBorder="1"/>
    <xf numFmtId="0" fontId="5" fillId="0" borderId="19" xfId="0" applyFont="1" applyBorder="1" applyAlignment="1">
      <alignment wrapText="1"/>
    </xf>
    <xf numFmtId="0" fontId="5" fillId="0" borderId="19" xfId="0" applyFont="1" applyBorder="1"/>
    <xf numFmtId="0" fontId="5" fillId="0" borderId="21" xfId="0" applyFont="1" applyBorder="1"/>
    <xf numFmtId="0" fontId="0" fillId="0" borderId="21" xfId="0" applyBorder="1"/>
    <xf numFmtId="3" fontId="0" fillId="0" borderId="21" xfId="0" applyNumberFormat="1" applyBorder="1"/>
    <xf numFmtId="3" fontId="4" fillId="0" borderId="21" xfId="0" applyNumberFormat="1" applyFont="1" applyFill="1" applyBorder="1" applyAlignment="1">
      <alignment horizontal="center"/>
    </xf>
    <xf numFmtId="0" fontId="9" fillId="0" borderId="16" xfId="0" applyFont="1" applyBorder="1"/>
    <xf numFmtId="0" fontId="0" fillId="0" borderId="17" xfId="0" applyBorder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1" xfId="0" applyNumberFormat="1" applyFont="1" applyFill="1" applyBorder="1" applyAlignment="1"/>
    <xf numFmtId="2" fontId="5" fillId="0" borderId="0" xfId="1" applyNumberFormat="1" applyFill="1"/>
    <xf numFmtId="4" fontId="5" fillId="0" borderId="0" xfId="1" applyNumberFormat="1" applyBorder="1"/>
    <xf numFmtId="0" fontId="5" fillId="0" borderId="6" xfId="1" applyBorder="1" applyAlignment="1">
      <alignment horizontal="right"/>
    </xf>
    <xf numFmtId="3" fontId="5" fillId="0" borderId="7" xfId="1" applyNumberFormat="1" applyBorder="1"/>
    <xf numFmtId="3" fontId="5" fillId="0" borderId="9" xfId="1" applyNumberFormat="1" applyBorder="1"/>
    <xf numFmtId="0" fontId="5" fillId="0" borderId="11" xfId="1" applyBorder="1" applyAlignment="1">
      <alignment horizontal="right"/>
    </xf>
    <xf numFmtId="3" fontId="5" fillId="0" borderId="12" xfId="1" applyNumberFormat="1" applyBorder="1"/>
    <xf numFmtId="0" fontId="5" fillId="0" borderId="0" xfId="1" applyAlignment="1">
      <alignment horizontal="left"/>
    </xf>
    <xf numFmtId="1" fontId="5" fillId="0" borderId="7" xfId="1" applyNumberFormat="1" applyBorder="1"/>
    <xf numFmtId="1" fontId="5" fillId="0" borderId="9" xfId="1" applyNumberFormat="1" applyBorder="1"/>
    <xf numFmtId="1" fontId="5" fillId="0" borderId="12" xfId="1" applyNumberFormat="1" applyBorder="1"/>
    <xf numFmtId="0" fontId="5" fillId="0" borderId="27" xfId="1" applyBorder="1" applyAlignment="1">
      <alignment horizontal="center"/>
    </xf>
    <xf numFmtId="2" fontId="5" fillId="0" borderId="27" xfId="1" applyNumberFormat="1" applyBorder="1" applyAlignment="1">
      <alignment horizontal="center"/>
    </xf>
    <xf numFmtId="166" fontId="5" fillId="0" borderId="27" xfId="1" applyNumberFormat="1" applyBorder="1" applyAlignment="1">
      <alignment horizontal="center"/>
    </xf>
    <xf numFmtId="0" fontId="1" fillId="0" borderId="0" xfId="2" applyFont="1" applyAlignment="1">
      <alignment horizontal="right"/>
    </xf>
    <xf numFmtId="0" fontId="5" fillId="7" borderId="0" xfId="1" applyFill="1" applyAlignment="1">
      <alignment vertical="top" wrapText="1"/>
    </xf>
    <xf numFmtId="0" fontId="5" fillId="0" borderId="16" xfId="1" applyBorder="1" applyAlignment="1">
      <alignment horizontal="center"/>
    </xf>
    <xf numFmtId="0" fontId="5" fillId="0" borderId="18" xfId="1" applyBorder="1" applyAlignment="1">
      <alignment horizontal="center"/>
    </xf>
    <xf numFmtId="0" fontId="5" fillId="0" borderId="17" xfId="1" applyBorder="1" applyAlignment="1">
      <alignment horizontal="center"/>
    </xf>
    <xf numFmtId="0" fontId="5" fillId="0" borderId="16" xfId="1" applyBorder="1" applyAlignment="1">
      <alignment horizontal="left"/>
    </xf>
    <xf numFmtId="0" fontId="5" fillId="0" borderId="17" xfId="1" applyBorder="1" applyAlignment="1">
      <alignment horizontal="left"/>
    </xf>
    <xf numFmtId="0" fontId="5" fillId="0" borderId="18" xfId="1" applyBorder="1" applyAlignment="1">
      <alignment horizontal="left"/>
    </xf>
    <xf numFmtId="0" fontId="5" fillId="0" borderId="19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11" xfId="1" applyBorder="1" applyAlignment="1">
      <alignment horizontal="left"/>
    </xf>
    <xf numFmtId="0" fontId="4" fillId="0" borderId="0" xfId="1" applyNumberFormat="1" applyFont="1" applyFill="1" applyBorder="1" applyAlignment="1">
      <alignment horizontal="left" vertical="top" wrapText="1"/>
    </xf>
    <xf numFmtId="2" fontId="5" fillId="0" borderId="11" xfId="1" applyNumberFormat="1" applyBorder="1" applyAlignment="1">
      <alignment horizontal="center"/>
    </xf>
    <xf numFmtId="0" fontId="5" fillId="0" borderId="11" xfId="1" applyBorder="1" applyAlignment="1">
      <alignment horizontal="center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 vertical="top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7" xfId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2" fontId="5" fillId="3" borderId="0" xfId="1" applyNumberFormat="1" applyFill="1"/>
    <xf numFmtId="3" fontId="5" fillId="0" borderId="0" xfId="1" applyNumberFormat="1" applyFill="1"/>
    <xf numFmtId="3" fontId="4" fillId="0" borderId="28" xfId="1" applyNumberFormat="1" applyFont="1" applyFill="1" applyBorder="1" applyAlignment="1"/>
    <xf numFmtId="0" fontId="4" fillId="2" borderId="28" xfId="1" applyNumberFormat="1" applyFont="1" applyFill="1" applyBorder="1" applyAlignment="1"/>
    <xf numFmtId="0" fontId="5" fillId="3" borderId="0" xfId="1" applyFont="1" applyFill="1"/>
    <xf numFmtId="164" fontId="4" fillId="0" borderId="0" xfId="1" applyNumberFormat="1" applyFont="1" applyFill="1" applyBorder="1" applyAlignment="1"/>
    <xf numFmtId="0" fontId="4" fillId="2" borderId="28" xfId="0" applyNumberFormat="1" applyFont="1" applyFill="1" applyBorder="1" applyAlignment="1"/>
    <xf numFmtId="3" fontId="4" fillId="0" borderId="28" xfId="0" applyNumberFormat="1" applyFont="1" applyFill="1" applyBorder="1" applyAlignment="1"/>
    <xf numFmtId="2" fontId="0" fillId="3" borderId="0" xfId="0" applyNumberFormat="1" applyFill="1"/>
    <xf numFmtId="0" fontId="4" fillId="0" borderId="28" xfId="0" applyNumberFormat="1" applyFont="1" applyFill="1" applyBorder="1" applyAlignment="1"/>
    <xf numFmtId="0" fontId="5" fillId="0" borderId="0" xfId="1" applyFont="1" applyAlignment="1">
      <alignment horizontal="right"/>
    </xf>
    <xf numFmtId="0" fontId="25" fillId="12" borderId="28" xfId="3" applyFont="1" applyFill="1" applyBorder="1" applyAlignment="1">
      <alignment horizontal="center"/>
    </xf>
    <xf numFmtId="0" fontId="25" fillId="0" borderId="29" xfId="3" applyFont="1" applyFill="1" applyBorder="1" applyAlignment="1">
      <alignment wrapText="1"/>
    </xf>
    <xf numFmtId="0" fontId="25" fillId="0" borderId="29" xfId="3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2" fontId="0" fillId="0" borderId="0" xfId="0" applyNumberFormat="1" applyFill="1"/>
  </cellXfs>
  <cellStyles count="4">
    <cellStyle name="Standaard" xfId="0" builtinId="0"/>
    <cellStyle name="Standaard 2" xfId="1"/>
    <cellStyle name="Standaard 3" xfId="2"/>
    <cellStyle name="Standaard_Blad19" xfId="3"/>
  </cellStyles>
  <dxfs count="0"/>
  <tableStyles count="0" defaultTableStyle="TableStyleMedium2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MSW future generation (tonnes)</a:t>
            </a:r>
          </a:p>
          <a:p>
            <a:pPr>
              <a:defRPr sz="1200"/>
            </a:pPr>
            <a:r>
              <a:rPr lang="en-US" sz="1200"/>
              <a:t>according to EUNOMIA model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3"/>
            <c:spPr>
              <a:solidFill>
                <a:srgbClr val="C00000"/>
              </a:solidFill>
            </c:spPr>
          </c:marker>
          <c:trendline>
            <c:spPr>
              <a:ln w="44450">
                <a:solidFill>
                  <a:srgbClr val="FF0000">
                    <a:alpha val="48000"/>
                  </a:srgbClr>
                </a:solidFill>
              </a:ln>
            </c:spPr>
            <c:trendlineType val="poly"/>
            <c:order val="2"/>
            <c:dispRSqr val="0"/>
            <c:dispEq val="0"/>
          </c:trendline>
          <c:cat>
            <c:numRef>
              <c:f>'total generation'!$L$6:$AF$6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'total generation'!$L$13:$AF$13</c:f>
              <c:numCache>
                <c:formatCode>#,##0</c:formatCode>
                <c:ptCount val="21"/>
                <c:pt idx="0">
                  <c:v>255147000</c:v>
                </c:pt>
                <c:pt idx="1">
                  <c:v>256608734.30799964</c:v>
                </c:pt>
                <c:pt idx="2">
                  <c:v>258078842.87549356</c:v>
                </c:pt>
                <c:pt idx="3">
                  <c:v>259557373.67852065</c:v>
                </c:pt>
                <c:pt idx="4">
                  <c:v>261044374.9679741</c:v>
                </c:pt>
                <c:pt idx="5">
                  <c:v>262539895.27117583</c:v>
                </c:pt>
                <c:pt idx="6">
                  <c:v>264043983.39346027</c:v>
                </c:pt>
                <c:pt idx="7">
                  <c:v>265556688.41976711</c:v>
                </c:pt>
                <c:pt idx="8">
                  <c:v>267078059.71624303</c:v>
                </c:pt>
                <c:pt idx="9">
                  <c:v>268608146.93185288</c:v>
                </c:pt>
                <c:pt idx="10">
                  <c:v>270146999.99999988</c:v>
                </c:pt>
                <c:pt idx="11">
                  <c:v>270383612.36329591</c:v>
                </c:pt>
                <c:pt idx="12">
                  <c:v>271813083.22167051</c:v>
                </c:pt>
                <c:pt idx="13">
                  <c:v>273250111.44240552</c:v>
                </c:pt>
                <c:pt idx="14">
                  <c:v>274694736.97995365</c:v>
                </c:pt>
                <c:pt idx="15">
                  <c:v>276146999.99999982</c:v>
                </c:pt>
                <c:pt idx="16">
                  <c:v>274958325.41969156</c:v>
                </c:pt>
                <c:pt idx="17">
                  <c:v>276246414.35627061</c:v>
                </c:pt>
                <c:pt idx="18">
                  <c:v>277540537.56406516</c:v>
                </c:pt>
                <c:pt idx="19">
                  <c:v>278840723.31164271</c:v>
                </c:pt>
                <c:pt idx="20">
                  <c:v>280146999.99999976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86400"/>
        <c:axId val="188980608"/>
      </c:lineChart>
      <c:catAx>
        <c:axId val="568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980608"/>
        <c:crosses val="autoZero"/>
        <c:auto val="1"/>
        <c:lblAlgn val="ctr"/>
        <c:lblOffset val="100"/>
        <c:noMultiLvlLbl val="0"/>
      </c:catAx>
      <c:valAx>
        <c:axId val="188980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88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16</xdr:row>
      <xdr:rowOff>171450</xdr:rowOff>
    </xdr:from>
    <xdr:to>
      <xdr:col>20</xdr:col>
      <xdr:colOff>228600</xdr:colOff>
      <xdr:row>32</xdr:row>
      <xdr:rowOff>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8"/>
  <sheetViews>
    <sheetView workbookViewId="0">
      <selection activeCell="C25" sqref="C25"/>
    </sheetView>
  </sheetViews>
  <sheetFormatPr defaultRowHeight="14.25" x14ac:dyDescent="0.2"/>
  <cols>
    <col min="1" max="1" width="27.25" customWidth="1"/>
    <col min="2" max="2" width="16" bestFit="1" customWidth="1"/>
    <col min="4" max="4" width="10.875" bestFit="1" customWidth="1"/>
    <col min="8" max="8" width="11.25" customWidth="1"/>
    <col min="9" max="9" width="12.5" customWidth="1"/>
    <col min="10" max="10" width="17.25" style="167" customWidth="1"/>
    <col min="12" max="12" width="10.875" bestFit="1" customWidth="1"/>
    <col min="13" max="22" width="9.75" bestFit="1" customWidth="1"/>
    <col min="23" max="23" width="10.875" bestFit="1" customWidth="1"/>
    <col min="24" max="27" width="9.75" bestFit="1" customWidth="1"/>
    <col min="28" max="28" width="10.875" bestFit="1" customWidth="1"/>
    <col min="29" max="32" width="9.75" bestFit="1" customWidth="1"/>
  </cols>
  <sheetData>
    <row r="3" spans="1:32" ht="15" x14ac:dyDescent="0.25">
      <c r="A3" s="170" t="s">
        <v>176</v>
      </c>
      <c r="G3" s="170" t="s">
        <v>180</v>
      </c>
      <c r="H3" s="149"/>
      <c r="I3" s="149"/>
      <c r="L3" s="148" t="s">
        <v>181</v>
      </c>
    </row>
    <row r="5" spans="1:32" ht="15" x14ac:dyDescent="0.25">
      <c r="A5" s="156" t="s">
        <v>0</v>
      </c>
      <c r="B5" s="157"/>
    </row>
    <row r="6" spans="1:32" ht="15.75" thickBot="1" x14ac:dyDescent="0.3">
      <c r="A6" s="157"/>
      <c r="B6" s="157"/>
      <c r="L6">
        <v>2010</v>
      </c>
      <c r="M6">
        <v>2011</v>
      </c>
      <c r="N6">
        <v>2012</v>
      </c>
      <c r="O6">
        <v>2013</v>
      </c>
      <c r="P6">
        <v>2014</v>
      </c>
      <c r="Q6">
        <v>2015</v>
      </c>
      <c r="R6">
        <v>2016</v>
      </c>
      <c r="S6">
        <v>2017</v>
      </c>
      <c r="T6">
        <v>2018</v>
      </c>
      <c r="U6">
        <v>2019</v>
      </c>
      <c r="V6">
        <v>2020</v>
      </c>
      <c r="W6">
        <v>2021</v>
      </c>
      <c r="X6">
        <v>2022</v>
      </c>
      <c r="Y6">
        <v>2023</v>
      </c>
      <c r="Z6">
        <v>2024</v>
      </c>
      <c r="AA6">
        <v>2025</v>
      </c>
      <c r="AB6">
        <v>2026</v>
      </c>
      <c r="AC6">
        <v>2027</v>
      </c>
      <c r="AD6">
        <v>2028</v>
      </c>
      <c r="AE6">
        <v>2029</v>
      </c>
      <c r="AF6">
        <v>2030</v>
      </c>
    </row>
    <row r="7" spans="1:32" ht="15.75" thickBot="1" x14ac:dyDescent="0.25">
      <c r="A7" s="156" t="s">
        <v>1</v>
      </c>
      <c r="B7" s="345">
        <v>41673.486192129625</v>
      </c>
      <c r="G7" s="162" t="s">
        <v>177</v>
      </c>
      <c r="H7" s="165" t="s">
        <v>179</v>
      </c>
      <c r="I7" s="163" t="s">
        <v>178</v>
      </c>
      <c r="J7" s="168" t="s">
        <v>151</v>
      </c>
    </row>
    <row r="8" spans="1:32" ht="15.75" thickBot="1" x14ac:dyDescent="0.25">
      <c r="A8" s="156" t="s">
        <v>2</v>
      </c>
      <c r="B8" s="345">
        <v>41682.627599421292</v>
      </c>
      <c r="G8" s="164">
        <v>2020</v>
      </c>
      <c r="H8" s="166">
        <v>15000000</v>
      </c>
      <c r="I8" s="171">
        <f>$B$15*1000+H8</f>
        <v>270147000</v>
      </c>
      <c r="J8" s="172">
        <f>(((I8/($B$15*1000))^(1/(G8-$B$14)))-1)*100</f>
        <v>0.57289888103706499</v>
      </c>
      <c r="L8" s="169">
        <f>$B$15*1000</f>
        <v>255147000</v>
      </c>
      <c r="M8" s="169">
        <f>L8+L8*$J8/100</f>
        <v>256608734.30799964</v>
      </c>
      <c r="N8" s="169">
        <f t="shared" ref="N8:AF8" si="0">M8+M8*$J8/100</f>
        <v>258078842.87549356</v>
      </c>
      <c r="O8" s="169">
        <f t="shared" si="0"/>
        <v>259557373.67852065</v>
      </c>
      <c r="P8" s="169">
        <f t="shared" si="0"/>
        <v>261044374.9679741</v>
      </c>
      <c r="Q8" s="169">
        <f t="shared" si="0"/>
        <v>262539895.27117583</v>
      </c>
      <c r="R8" s="169">
        <f t="shared" si="0"/>
        <v>264043983.39346027</v>
      </c>
      <c r="S8" s="169">
        <f t="shared" si="0"/>
        <v>265556688.41976711</v>
      </c>
      <c r="T8" s="169">
        <f t="shared" si="0"/>
        <v>267078059.71624303</v>
      </c>
      <c r="U8" s="169">
        <f t="shared" si="0"/>
        <v>268608146.93185288</v>
      </c>
      <c r="V8" s="169">
        <f t="shared" si="0"/>
        <v>270146999.99999988</v>
      </c>
      <c r="W8" s="169">
        <f t="shared" si="0"/>
        <v>271694669.14015508</v>
      </c>
      <c r="X8" s="169">
        <f t="shared" si="0"/>
        <v>273251204.85949636</v>
      </c>
      <c r="Y8" s="169">
        <f t="shared" si="0"/>
        <v>274816657.9545567</v>
      </c>
      <c r="Z8" s="169">
        <f t="shared" si="0"/>
        <v>276391079.51288182</v>
      </c>
      <c r="AA8" s="169">
        <f t="shared" si="0"/>
        <v>277974520.91469741</v>
      </c>
      <c r="AB8" s="169">
        <f t="shared" si="0"/>
        <v>279567033.83458585</v>
      </c>
      <c r="AC8" s="169">
        <f t="shared" si="0"/>
        <v>281168670.24317271</v>
      </c>
      <c r="AD8" s="169">
        <f t="shared" si="0"/>
        <v>282779482.40882266</v>
      </c>
      <c r="AE8" s="169">
        <f t="shared" si="0"/>
        <v>284399522.89934522</v>
      </c>
      <c r="AF8" s="169">
        <f t="shared" si="0"/>
        <v>286028844.58371031</v>
      </c>
    </row>
    <row r="9" spans="1:32" ht="15.75" thickBot="1" x14ac:dyDescent="0.25">
      <c r="A9" s="156" t="s">
        <v>3</v>
      </c>
      <c r="B9" s="156" t="s">
        <v>4</v>
      </c>
      <c r="G9" s="164">
        <v>2025</v>
      </c>
      <c r="H9" s="166">
        <v>21000000</v>
      </c>
      <c r="I9" s="171">
        <f>$B$15*1000+H9</f>
        <v>276147000</v>
      </c>
      <c r="J9" s="172">
        <f t="shared" ref="J9:J10" si="1">(((I9/($B$15*1000))^(1/(G9-$B$14)))-1)*100</f>
        <v>0.52868250626592062</v>
      </c>
      <c r="L9" s="169">
        <f t="shared" ref="L9:L10" si="2">$B$15*1000</f>
        <v>255147000</v>
      </c>
      <c r="M9" s="169">
        <f>L9+L9*$J9/100</f>
        <v>256495917.55426231</v>
      </c>
      <c r="N9" s="169">
        <f t="shared" ref="N9:AF9" si="3">M9+M9*$J9/100</f>
        <v>257851966.59965795</v>
      </c>
      <c r="O9" s="169">
        <f t="shared" si="3"/>
        <v>259215184.83913299</v>
      </c>
      <c r="P9" s="169">
        <f t="shared" si="3"/>
        <v>260585610.17496237</v>
      </c>
      <c r="Q9" s="169">
        <f t="shared" si="3"/>
        <v>261963280.7098037</v>
      </c>
      <c r="R9" s="169">
        <f t="shared" si="3"/>
        <v>263348234.74775672</v>
      </c>
      <c r="S9" s="169">
        <f t="shared" si="3"/>
        <v>264740510.79542822</v>
      </c>
      <c r="T9" s="169">
        <f t="shared" si="3"/>
        <v>266140147.56300268</v>
      </c>
      <c r="U9" s="169">
        <f t="shared" si="3"/>
        <v>267547183.96531859</v>
      </c>
      <c r="V9" s="169">
        <f t="shared" si="3"/>
        <v>268961659.12295032</v>
      </c>
      <c r="W9" s="169">
        <f t="shared" si="3"/>
        <v>270383612.36329591</v>
      </c>
      <c r="X9" s="169">
        <f t="shared" si="3"/>
        <v>271813083.22167051</v>
      </c>
      <c r="Y9" s="169">
        <f t="shared" si="3"/>
        <v>273250111.44240552</v>
      </c>
      <c r="Z9" s="169">
        <f t="shared" si="3"/>
        <v>274694736.97995365</v>
      </c>
      <c r="AA9" s="169">
        <f t="shared" si="3"/>
        <v>276146999.99999982</v>
      </c>
      <c r="AB9" s="169">
        <f t="shared" si="3"/>
        <v>277606940.88057798</v>
      </c>
      <c r="AC9" s="169">
        <f t="shared" si="3"/>
        <v>279074600.2131936</v>
      </c>
      <c r="AD9" s="169">
        <f t="shared" si="3"/>
        <v>280550018.80395228</v>
      </c>
      <c r="AE9" s="169">
        <f t="shared" si="3"/>
        <v>282033237.67469454</v>
      </c>
      <c r="AF9" s="169">
        <f t="shared" si="3"/>
        <v>283524298.06413603</v>
      </c>
    </row>
    <row r="10" spans="1:32" ht="15.75" thickBot="1" x14ac:dyDescent="0.3">
      <c r="A10" s="157"/>
      <c r="B10" s="157"/>
      <c r="G10" s="164">
        <v>2030</v>
      </c>
      <c r="H10" s="166">
        <v>25000000</v>
      </c>
      <c r="I10" s="171">
        <f t="shared" ref="I10" si="4">$B$15*1000+H10</f>
        <v>280147000</v>
      </c>
      <c r="J10" s="172">
        <f t="shared" si="1"/>
        <v>0.46846697026283746</v>
      </c>
      <c r="L10" s="169">
        <f t="shared" si="2"/>
        <v>255147000</v>
      </c>
      <c r="M10" s="169">
        <f>L10+L10*$J10/100</f>
        <v>256342279.42061651</v>
      </c>
      <c r="N10" s="169">
        <f t="shared" ref="N10:AF10" si="5">M10+M10*$J10/100</f>
        <v>257543158.33052096</v>
      </c>
      <c r="O10" s="169">
        <f t="shared" si="5"/>
        <v>258749662.96147117</v>
      </c>
      <c r="P10" s="169">
        <f t="shared" si="5"/>
        <v>259961819.66811207</v>
      </c>
      <c r="Q10" s="169">
        <f t="shared" si="5"/>
        <v>261179654.92855141</v>
      </c>
      <c r="R10" s="169">
        <f t="shared" si="5"/>
        <v>262403195.34493813</v>
      </c>
      <c r="S10" s="169">
        <f t="shared" si="5"/>
        <v>263632467.64404345</v>
      </c>
      <c r="T10" s="169">
        <f t="shared" si="5"/>
        <v>264867498.67784464</v>
      </c>
      <c r="U10" s="169">
        <f t="shared" si="5"/>
        <v>266108315.42411169</v>
      </c>
      <c r="V10" s="169">
        <f t="shared" si="5"/>
        <v>267354944.9869965</v>
      </c>
      <c r="W10" s="169">
        <f t="shared" si="5"/>
        <v>268607414.59762496</v>
      </c>
      <c r="X10" s="169">
        <f t="shared" si="5"/>
        <v>269865751.61469179</v>
      </c>
      <c r="Y10" s="169">
        <f t="shared" si="5"/>
        <v>271129983.52505815</v>
      </c>
      <c r="Z10" s="169">
        <f t="shared" si="5"/>
        <v>272400137.94435215</v>
      </c>
      <c r="AA10" s="169">
        <f t="shared" si="5"/>
        <v>273676242.61757183</v>
      </c>
      <c r="AB10" s="169">
        <f t="shared" si="5"/>
        <v>274958325.41969156</v>
      </c>
      <c r="AC10" s="169">
        <f t="shared" si="5"/>
        <v>276246414.35627061</v>
      </c>
      <c r="AD10" s="169">
        <f t="shared" si="5"/>
        <v>277540537.56406516</v>
      </c>
      <c r="AE10" s="169">
        <f t="shared" si="5"/>
        <v>278840723.31164271</v>
      </c>
      <c r="AF10" s="169">
        <f t="shared" si="5"/>
        <v>280146999.99999976</v>
      </c>
    </row>
    <row r="11" spans="1:32" x14ac:dyDescent="0.2">
      <c r="A11" s="156" t="s">
        <v>5</v>
      </c>
      <c r="B11" s="156" t="s">
        <v>6</v>
      </c>
    </row>
    <row r="12" spans="1:32" x14ac:dyDescent="0.2">
      <c r="A12" s="156" t="s">
        <v>7</v>
      </c>
      <c r="B12" s="156" t="s">
        <v>46</v>
      </c>
      <c r="V12" s="15">
        <f>V8-L8</f>
        <v>14999999.999999881</v>
      </c>
      <c r="AA12" s="15">
        <f>AA9-L9</f>
        <v>20999999.999999821</v>
      </c>
      <c r="AF12" s="15">
        <f>AF10-L10</f>
        <v>24999999.999999762</v>
      </c>
    </row>
    <row r="13" spans="1:32" ht="15.75" thickBot="1" x14ac:dyDescent="0.3">
      <c r="A13" s="157"/>
      <c r="B13" s="157"/>
      <c r="L13" s="169">
        <f>L8</f>
        <v>255147000</v>
      </c>
      <c r="M13" s="169">
        <f t="shared" ref="M13:V13" si="6">M8</f>
        <v>256608734.30799964</v>
      </c>
      <c r="N13" s="169">
        <f t="shared" si="6"/>
        <v>258078842.87549356</v>
      </c>
      <c r="O13" s="169">
        <f t="shared" si="6"/>
        <v>259557373.67852065</v>
      </c>
      <c r="P13" s="169">
        <f t="shared" si="6"/>
        <v>261044374.9679741</v>
      </c>
      <c r="Q13" s="169">
        <f t="shared" si="6"/>
        <v>262539895.27117583</v>
      </c>
      <c r="R13" s="169">
        <f t="shared" si="6"/>
        <v>264043983.39346027</v>
      </c>
      <c r="S13" s="169">
        <f t="shared" si="6"/>
        <v>265556688.41976711</v>
      </c>
      <c r="T13" s="169">
        <f t="shared" si="6"/>
        <v>267078059.71624303</v>
      </c>
      <c r="U13" s="169">
        <f t="shared" si="6"/>
        <v>268608146.93185288</v>
      </c>
      <c r="V13" s="169">
        <f t="shared" si="6"/>
        <v>270146999.99999988</v>
      </c>
      <c r="W13" s="169">
        <f>W9</f>
        <v>270383612.36329591</v>
      </c>
      <c r="X13" s="169">
        <f t="shared" ref="X13:AA13" si="7">X9</f>
        <v>271813083.22167051</v>
      </c>
      <c r="Y13" s="169">
        <f t="shared" si="7"/>
        <v>273250111.44240552</v>
      </c>
      <c r="Z13" s="169">
        <f t="shared" si="7"/>
        <v>274694736.97995365</v>
      </c>
      <c r="AA13" s="169">
        <f t="shared" si="7"/>
        <v>276146999.99999982</v>
      </c>
      <c r="AB13" s="169">
        <f>AB10</f>
        <v>274958325.41969156</v>
      </c>
      <c r="AC13" s="169">
        <f t="shared" ref="AC13:AF13" si="8">AC10</f>
        <v>276246414.35627061</v>
      </c>
      <c r="AD13" s="169">
        <f t="shared" si="8"/>
        <v>277540537.56406516</v>
      </c>
      <c r="AE13" s="169">
        <f t="shared" si="8"/>
        <v>278840723.31164271</v>
      </c>
      <c r="AF13" s="169">
        <f t="shared" si="8"/>
        <v>280146999.99999976</v>
      </c>
    </row>
    <row r="14" spans="1:32" ht="15" thickBot="1" x14ac:dyDescent="0.25">
      <c r="A14" s="158" t="s">
        <v>8</v>
      </c>
      <c r="B14" s="159" t="s">
        <v>14</v>
      </c>
      <c r="C14" s="159" t="s">
        <v>15</v>
      </c>
      <c r="G14" s="16" t="s">
        <v>182</v>
      </c>
    </row>
    <row r="15" spans="1:32" ht="15" thickBot="1" x14ac:dyDescent="0.25">
      <c r="A15" s="160" t="s">
        <v>16</v>
      </c>
      <c r="B15" s="161">
        <v>255147</v>
      </c>
      <c r="C15" s="161">
        <v>253249</v>
      </c>
    </row>
    <row r="16" spans="1:32" ht="15" x14ac:dyDescent="0.2">
      <c r="G16" s="27">
        <f>G8</f>
        <v>2020</v>
      </c>
      <c r="H16" s="27"/>
      <c r="I16" s="169">
        <f>I8*0.14</f>
        <v>37820580</v>
      </c>
    </row>
    <row r="17" spans="1:9" ht="15" x14ac:dyDescent="0.2">
      <c r="G17" s="27">
        <f t="shared" ref="G17:G18" si="9">G9</f>
        <v>2025</v>
      </c>
      <c r="H17" s="27"/>
      <c r="I17" s="169">
        <f t="shared" ref="I17:I18" si="10">I9*0.14</f>
        <v>38660580</v>
      </c>
    </row>
    <row r="18" spans="1:9" ht="15" x14ac:dyDescent="0.2">
      <c r="A18" s="45">
        <f>C15*1000</f>
        <v>253249000</v>
      </c>
      <c r="B18" s="147" t="s">
        <v>61</v>
      </c>
      <c r="G18" s="27">
        <f t="shared" si="9"/>
        <v>2030</v>
      </c>
      <c r="H18" s="27"/>
      <c r="I18" s="169">
        <f t="shared" si="10"/>
        <v>39220580.000000007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79"/>
  <sheetViews>
    <sheetView showGridLines="0" zoomScaleNormal="100" workbookViewId="0"/>
  </sheetViews>
  <sheetFormatPr defaultRowHeight="14.25" x14ac:dyDescent="0.2"/>
  <cols>
    <col min="1" max="1" width="22.625" style="5" customWidth="1"/>
    <col min="2" max="2" width="12.5" style="5" customWidth="1"/>
    <col min="3" max="3" width="15.125" style="5" customWidth="1"/>
    <col min="4" max="13" width="10.625" style="5" customWidth="1"/>
    <col min="14" max="14" width="9" style="5" customWidth="1"/>
    <col min="15" max="19" width="9.75" style="5" customWidth="1"/>
    <col min="20" max="23" width="9" style="5"/>
    <col min="24" max="24" width="7.875" style="5" customWidth="1"/>
    <col min="25" max="29" width="9" style="5"/>
    <col min="30" max="30" width="3.625" style="5" customWidth="1"/>
    <col min="31" max="36" width="9" style="5"/>
    <col min="37" max="37" width="26.125" style="5" bestFit="1" customWidth="1"/>
    <col min="38" max="51" width="9" style="5"/>
    <col min="52" max="52" width="14.5" style="5" bestFit="1" customWidth="1"/>
    <col min="53" max="16384" width="9" style="5"/>
  </cols>
  <sheetData>
    <row r="2" spans="1:54" ht="15" x14ac:dyDescent="0.25">
      <c r="A2" s="173" t="s">
        <v>158</v>
      </c>
      <c r="B2" s="17"/>
      <c r="C2" s="17"/>
    </row>
    <row r="5" spans="1:54" ht="15" x14ac:dyDescent="0.25">
      <c r="A5" s="10" t="s">
        <v>106</v>
      </c>
      <c r="L5" s="139" t="s">
        <v>155</v>
      </c>
      <c r="O5" s="56" t="s">
        <v>107</v>
      </c>
      <c r="P5"/>
      <c r="Q5"/>
      <c r="R5"/>
      <c r="S5"/>
      <c r="T5"/>
      <c r="U5"/>
      <c r="Y5" s="57" t="s">
        <v>108</v>
      </c>
    </row>
    <row r="6" spans="1:54" x14ac:dyDescent="0.2">
      <c r="O6"/>
      <c r="P6"/>
      <c r="Q6"/>
      <c r="R6"/>
      <c r="S6"/>
      <c r="T6"/>
      <c r="U6"/>
    </row>
    <row r="7" spans="1:54" x14ac:dyDescent="0.2">
      <c r="A7" s="10" t="s">
        <v>1</v>
      </c>
      <c r="B7" s="11">
        <v>41601.089386574073</v>
      </c>
      <c r="O7" s="1" t="s">
        <v>1</v>
      </c>
      <c r="P7" s="2"/>
      <c r="Q7" s="2">
        <v>41459.631990740745</v>
      </c>
      <c r="R7"/>
      <c r="S7"/>
      <c r="T7"/>
      <c r="U7"/>
    </row>
    <row r="8" spans="1:54" x14ac:dyDescent="0.2">
      <c r="A8" s="10" t="s">
        <v>2</v>
      </c>
      <c r="B8" s="11">
        <v>41604.489614432867</v>
      </c>
      <c r="O8" s="1" t="s">
        <v>2</v>
      </c>
      <c r="P8" s="2"/>
      <c r="Q8" s="2">
        <v>41600.558206550922</v>
      </c>
      <c r="R8"/>
      <c r="S8"/>
      <c r="T8"/>
      <c r="U8"/>
      <c r="AY8" s="17"/>
      <c r="AZ8" s="17"/>
      <c r="BA8" s="17"/>
      <c r="BB8" s="17"/>
    </row>
    <row r="9" spans="1:54" x14ac:dyDescent="0.2">
      <c r="A9" s="10" t="s">
        <v>3</v>
      </c>
      <c r="B9" s="10" t="s">
        <v>4</v>
      </c>
      <c r="O9" s="1" t="s">
        <v>3</v>
      </c>
      <c r="P9" s="1"/>
      <c r="Q9" s="1" t="s">
        <v>4</v>
      </c>
      <c r="R9"/>
      <c r="S9"/>
      <c r="T9"/>
      <c r="U9"/>
      <c r="AY9" s="17"/>
      <c r="AZ9" s="17"/>
      <c r="BA9" s="17"/>
      <c r="BB9" s="17"/>
    </row>
    <row r="10" spans="1:54" x14ac:dyDescent="0.2">
      <c r="O10"/>
      <c r="P10"/>
      <c r="Q10"/>
      <c r="R10"/>
      <c r="S10"/>
      <c r="T10"/>
      <c r="U10"/>
      <c r="AY10" s="17"/>
      <c r="AZ10" s="17"/>
      <c r="BA10" s="17"/>
      <c r="BB10" s="17"/>
    </row>
    <row r="11" spans="1:54" x14ac:dyDescent="0.2">
      <c r="A11" s="10" t="s">
        <v>7</v>
      </c>
      <c r="B11" s="10" t="s">
        <v>69</v>
      </c>
      <c r="O11" s="1" t="s">
        <v>5</v>
      </c>
      <c r="P11" s="1"/>
      <c r="Q11" s="1" t="s">
        <v>6</v>
      </c>
      <c r="R11"/>
      <c r="S11"/>
      <c r="T11"/>
      <c r="U11"/>
      <c r="Y11" s="5" t="s">
        <v>77</v>
      </c>
      <c r="AE11" s="5" t="s">
        <v>83</v>
      </c>
      <c r="AL11" s="5" t="s">
        <v>84</v>
      </c>
      <c r="AY11" s="17"/>
      <c r="AZ11" s="17"/>
      <c r="BA11" s="17"/>
      <c r="BB11" s="17"/>
    </row>
    <row r="12" spans="1:54" x14ac:dyDescent="0.2">
      <c r="A12" s="10" t="s">
        <v>68</v>
      </c>
      <c r="B12" s="10" t="s">
        <v>57</v>
      </c>
      <c r="O12" s="1" t="s">
        <v>7</v>
      </c>
      <c r="P12" s="16"/>
      <c r="Q12" s="16" t="s">
        <v>70</v>
      </c>
      <c r="R12"/>
      <c r="S12"/>
      <c r="T12"/>
      <c r="AY12" s="17"/>
      <c r="AZ12" s="17"/>
      <c r="BA12" s="17"/>
      <c r="BB12" s="17"/>
    </row>
    <row r="13" spans="1:54" x14ac:dyDescent="0.2">
      <c r="O13" s="1"/>
      <c r="AY13" s="17"/>
      <c r="AZ13" s="347"/>
      <c r="BA13" s="304"/>
      <c r="BB13" s="17"/>
    </row>
    <row r="14" spans="1:54" x14ac:dyDescent="0.2">
      <c r="A14" s="7" t="s">
        <v>8</v>
      </c>
      <c r="B14" s="7" t="s">
        <v>62</v>
      </c>
      <c r="C14" s="7" t="s">
        <v>63</v>
      </c>
      <c r="D14" s="7" t="s">
        <v>64</v>
      </c>
      <c r="E14" s="7" t="s">
        <v>65</v>
      </c>
      <c r="F14" s="7" t="s">
        <v>9</v>
      </c>
      <c r="G14" s="7" t="s">
        <v>10</v>
      </c>
      <c r="H14" s="7" t="s">
        <v>11</v>
      </c>
      <c r="I14" s="7" t="s">
        <v>12</v>
      </c>
      <c r="J14" s="7" t="s">
        <v>13</v>
      </c>
      <c r="K14" s="7" t="s">
        <v>14</v>
      </c>
      <c r="L14" s="7" t="s">
        <v>15</v>
      </c>
      <c r="M14" s="7" t="s">
        <v>67</v>
      </c>
      <c r="O14" s="18" t="s">
        <v>8</v>
      </c>
      <c r="P14" s="18">
        <v>2004</v>
      </c>
      <c r="Q14" s="18" t="s">
        <v>9</v>
      </c>
      <c r="R14" s="18" t="s">
        <v>10</v>
      </c>
      <c r="S14" s="18" t="s">
        <v>11</v>
      </c>
      <c r="T14" s="18" t="s">
        <v>12</v>
      </c>
      <c r="U14" s="18" t="s">
        <v>13</v>
      </c>
      <c r="V14" s="18" t="s">
        <v>14</v>
      </c>
      <c r="W14" s="18" t="s">
        <v>15</v>
      </c>
      <c r="Y14" s="38" t="s">
        <v>78</v>
      </c>
      <c r="Z14" s="38" t="s">
        <v>79</v>
      </c>
      <c r="AA14" s="38" t="s">
        <v>82</v>
      </c>
      <c r="AB14" s="38" t="s">
        <v>80</v>
      </c>
      <c r="AC14" s="38" t="s">
        <v>81</v>
      </c>
      <c r="AE14" s="38" t="str">
        <f>Y14</f>
        <v>y-4</v>
      </c>
      <c r="AF14" s="38" t="str">
        <f t="shared" ref="AF14:AI14" si="0">Z14</f>
        <v>y-3</v>
      </c>
      <c r="AG14" s="38" t="str">
        <f t="shared" si="0"/>
        <v>y-2</v>
      </c>
      <c r="AH14" s="38" t="str">
        <f t="shared" si="0"/>
        <v>y-1</v>
      </c>
      <c r="AI14" s="38" t="str">
        <f t="shared" si="0"/>
        <v>y</v>
      </c>
      <c r="AJ14" s="40"/>
      <c r="AL14" s="37" t="s">
        <v>85</v>
      </c>
      <c r="AM14" s="37" t="s">
        <v>86</v>
      </c>
      <c r="AN14" s="37" t="s">
        <v>87</v>
      </c>
      <c r="AY14" s="17"/>
      <c r="AZ14" s="347"/>
      <c r="BA14" s="304"/>
      <c r="BB14" s="17"/>
    </row>
    <row r="15" spans="1:54" x14ac:dyDescent="0.2">
      <c r="A15" s="7" t="s">
        <v>17</v>
      </c>
      <c r="B15" s="9">
        <v>5931095.7000000002</v>
      </c>
      <c r="C15" s="9">
        <v>5985538.2999999998</v>
      </c>
      <c r="D15" s="9">
        <v>6067502.5999999996</v>
      </c>
      <c r="E15" s="9">
        <v>6205294.7999999998</v>
      </c>
      <c r="F15" s="9">
        <v>6322352.2000000002</v>
      </c>
      <c r="G15" s="9">
        <v>6428082</v>
      </c>
      <c r="H15" s="9">
        <v>6531198</v>
      </c>
      <c r="I15" s="9">
        <v>6517841.2999999998</v>
      </c>
      <c r="J15" s="9">
        <v>6373025.7000000002</v>
      </c>
      <c r="K15" s="9">
        <v>6484350.7000000002</v>
      </c>
      <c r="L15" s="9">
        <v>6482966.5</v>
      </c>
      <c r="M15" s="9">
        <v>6431738.7000000002</v>
      </c>
      <c r="O15" s="7" t="s">
        <v>17</v>
      </c>
      <c r="P15" s="35">
        <v>251182</v>
      </c>
      <c r="Q15" s="34">
        <v>253570</v>
      </c>
      <c r="R15" s="34">
        <v>257579</v>
      </c>
      <c r="S15" s="19">
        <v>259204</v>
      </c>
      <c r="T15" s="19">
        <v>258815</v>
      </c>
      <c r="U15" s="19">
        <v>254915</v>
      </c>
      <c r="V15" s="19">
        <v>253517</v>
      </c>
      <c r="W15" s="19">
        <v>251604</v>
      </c>
      <c r="Y15" s="39">
        <f>S15/$S15*100</f>
        <v>100</v>
      </c>
      <c r="Z15" s="39">
        <f t="shared" ref="Z15:AB15" si="1">T15/$S15*100</f>
        <v>99.849925155476001</v>
      </c>
      <c r="AA15" s="39">
        <f t="shared" si="1"/>
        <v>98.345318745081087</v>
      </c>
      <c r="AB15" s="39">
        <f t="shared" si="1"/>
        <v>97.805975216431847</v>
      </c>
      <c r="AC15" s="39">
        <f>W15/$S15*100</f>
        <v>97.067946482307377</v>
      </c>
      <c r="AE15" s="39">
        <f>H15/$H15*100</f>
        <v>100</v>
      </c>
      <c r="AF15" s="39">
        <f t="shared" ref="AF15:AI15" si="2">I15/$H15*100</f>
        <v>99.795493874171328</v>
      </c>
      <c r="AG15" s="39">
        <f t="shared" si="2"/>
        <v>97.578203876226084</v>
      </c>
      <c r="AH15" s="39">
        <f t="shared" si="2"/>
        <v>99.282715054726566</v>
      </c>
      <c r="AI15" s="39">
        <f t="shared" si="2"/>
        <v>99.261521393165538</v>
      </c>
      <c r="AJ15" s="40"/>
      <c r="AK15" s="5" t="str">
        <f>A15</f>
        <v>European Union (27 countries)</v>
      </c>
      <c r="AL15" s="39">
        <f>LINEST(Y15:AC15,,TRUE)</f>
        <v>-0.79080569744293971</v>
      </c>
      <c r="AM15" s="39">
        <f>LINEST(AE15:AI15,,TRUE)</f>
        <v>-0.19897360331136862</v>
      </c>
      <c r="AN15" s="178">
        <f>AM15-AL15</f>
        <v>0.59183209413157112</v>
      </c>
      <c r="AO15" s="5" t="str">
        <f>IF(AN15&gt;2,"absolute decoupling",
IF(AND(AN15&gt;0.2,AN15&lt;2),"decoupling",
IF(AN15&lt;-0.2,"reverse decoupling",
IF(AND(AN15&lt;0.2,AN15&gt;-0.2),"coupling","fout"))))</f>
        <v>decoupling</v>
      </c>
      <c r="AY15" s="17"/>
      <c r="AZ15" s="347"/>
      <c r="BA15" s="304"/>
      <c r="BB15" s="17"/>
    </row>
    <row r="16" spans="1:54" x14ac:dyDescent="0.2">
      <c r="A16" s="7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32" t="s">
        <v>16</v>
      </c>
      <c r="P16" s="36"/>
      <c r="Q16" s="36"/>
      <c r="R16" s="36"/>
      <c r="S16" s="33">
        <v>260922</v>
      </c>
      <c r="T16" s="19">
        <v>260604</v>
      </c>
      <c r="U16" s="19">
        <v>256658</v>
      </c>
      <c r="V16" s="19">
        <v>255147</v>
      </c>
      <c r="W16" s="19">
        <v>253249</v>
      </c>
      <c r="Y16" s="39">
        <f>S16/$S16*100</f>
        <v>100</v>
      </c>
      <c r="Z16" s="39">
        <f t="shared" ref="Z16:AC17" si="3">T16/$S16*100</f>
        <v>99.878124496976113</v>
      </c>
      <c r="AA16" s="39">
        <f t="shared" si="3"/>
        <v>98.365795141843165</v>
      </c>
      <c r="AB16" s="39">
        <f t="shared" si="3"/>
        <v>97.786694874330266</v>
      </c>
      <c r="AC16" s="39">
        <f t="shared" si="3"/>
        <v>97.059274419175082</v>
      </c>
      <c r="AE16" s="39"/>
      <c r="AF16" s="39"/>
      <c r="AG16" s="39"/>
      <c r="AH16" s="39"/>
      <c r="AI16" s="39"/>
      <c r="AJ16" s="40"/>
      <c r="AK16" s="5" t="str">
        <f t="shared" ref="AK16:AK44" si="4">A16</f>
        <v>European Union (28 countries)</v>
      </c>
      <c r="AL16" s="39">
        <f t="shared" ref="AL16:AL44" si="5">LINEST(Y16:AC16,,TRUE)</f>
        <v>-0.79728807842956806</v>
      </c>
      <c r="AM16" s="39"/>
      <c r="AN16" s="39"/>
      <c r="AY16" s="17"/>
      <c r="AZ16" s="17"/>
      <c r="BA16" s="17"/>
      <c r="BB16" s="17"/>
    </row>
    <row r="17" spans="1:54" x14ac:dyDescent="0.2">
      <c r="A17" s="7" t="s">
        <v>18</v>
      </c>
      <c r="B17" s="9">
        <v>145463.79999999999</v>
      </c>
      <c r="C17" s="9">
        <v>146178.1</v>
      </c>
      <c r="D17" s="9">
        <v>147151.20000000001</v>
      </c>
      <c r="E17" s="9">
        <v>149368.5</v>
      </c>
      <c r="F17" s="9">
        <v>150825.79999999999</v>
      </c>
      <c r="G17" s="9">
        <v>153469.29999999999</v>
      </c>
      <c r="H17" s="9">
        <v>155987.79999999999</v>
      </c>
      <c r="I17" s="9">
        <v>159088.79999999999</v>
      </c>
      <c r="J17" s="9">
        <v>160067.6</v>
      </c>
      <c r="K17" s="9">
        <v>164187.29999999999</v>
      </c>
      <c r="L17" s="9">
        <v>164415.9</v>
      </c>
      <c r="M17" s="9">
        <v>163776.4</v>
      </c>
      <c r="O17" s="18" t="s">
        <v>18</v>
      </c>
      <c r="P17" s="35">
        <v>5064</v>
      </c>
      <c r="Q17" s="35">
        <v>5024</v>
      </c>
      <c r="R17" s="35">
        <v>5093</v>
      </c>
      <c r="S17" s="19">
        <v>5256</v>
      </c>
      <c r="T17" s="19">
        <v>5242</v>
      </c>
      <c r="U17" s="19">
        <v>5274</v>
      </c>
      <c r="V17" s="19">
        <v>5067</v>
      </c>
      <c r="W17" s="19">
        <v>5125</v>
      </c>
      <c r="Y17" s="39">
        <f>S17/$S17*100</f>
        <v>100</v>
      </c>
      <c r="Z17" s="39">
        <f t="shared" si="3"/>
        <v>99.733637747336374</v>
      </c>
      <c r="AA17" s="39">
        <f t="shared" si="3"/>
        <v>100.34246575342465</v>
      </c>
      <c r="AB17" s="39">
        <f t="shared" si="3"/>
        <v>96.404109589041099</v>
      </c>
      <c r="AC17" s="39">
        <f t="shared" si="3"/>
        <v>97.507610350076106</v>
      </c>
      <c r="AE17" s="39">
        <f t="shared" ref="AE17:AE44" si="6">H17/$H17*100</f>
        <v>100</v>
      </c>
      <c r="AF17" s="39">
        <f t="shared" ref="AF17" si="7">I17/$H17*100</f>
        <v>101.98797598273713</v>
      </c>
      <c r="AG17" s="39">
        <f t="shared" ref="AG17" si="8">J17/$H17*100</f>
        <v>102.61546095271554</v>
      </c>
      <c r="AH17" s="39">
        <f t="shared" ref="AH17" si="9">K17/$H17*100</f>
        <v>105.25650082891099</v>
      </c>
      <c r="AI17" s="39">
        <f t="shared" ref="AI17" si="10">L17/$H17*100</f>
        <v>105.40305075140492</v>
      </c>
      <c r="AJ17" s="40"/>
      <c r="AK17" s="5" t="str">
        <f t="shared" si="4"/>
        <v>Belgium</v>
      </c>
      <c r="AL17" s="39">
        <f t="shared" si="5"/>
        <v>-0.8314307458143062</v>
      </c>
      <c r="AM17" s="39">
        <f t="shared" ref="AM17:AM26" si="11">LINEST(AE17:AI17,,TRUE)</f>
        <v>1.4074626348983696</v>
      </c>
      <c r="AN17" s="39">
        <f t="shared" ref="AN17:AN44" si="12">AM17-AL17</f>
        <v>2.2388933807126756</v>
      </c>
      <c r="AO17" s="5" t="str">
        <f t="shared" ref="AO17:AO44" si="13">IF(AN17&gt;2,"absolute decoupling",
IF(AND(AN17&gt;0.2,AN17&lt;2),"decoupling",
IF(AN17&lt;-0.2,"reverse decoupling",
IF(AND(AN17&lt;0.2,AN17&gt;-0.2),"coupling","fout"))))</f>
        <v>absolute decoupling</v>
      </c>
      <c r="AR17" s="60">
        <v>1</v>
      </c>
      <c r="AS17" s="61">
        <v>6.1224295268883164</v>
      </c>
      <c r="AT17" s="60" t="s">
        <v>40</v>
      </c>
      <c r="AY17" s="17"/>
      <c r="AZ17" s="347"/>
      <c r="BA17" s="304"/>
      <c r="BB17" s="17"/>
    </row>
    <row r="18" spans="1:54" x14ac:dyDescent="0.2">
      <c r="A18" s="7" t="s">
        <v>19</v>
      </c>
      <c r="B18" s="9">
        <v>13433.1</v>
      </c>
      <c r="C18" s="9">
        <v>13690.3</v>
      </c>
      <c r="D18" s="9">
        <v>14727.9</v>
      </c>
      <c r="E18" s="9">
        <v>15820.8</v>
      </c>
      <c r="F18" s="9">
        <v>16910.7</v>
      </c>
      <c r="G18" s="9">
        <v>18210.900000000001</v>
      </c>
      <c r="H18" s="9">
        <v>19900.3</v>
      </c>
      <c r="I18" s="9">
        <v>20177.400000000001</v>
      </c>
      <c r="J18" s="9">
        <v>18746.3</v>
      </c>
      <c r="K18" s="9">
        <v>19021.400000000001</v>
      </c>
      <c r="L18" s="9">
        <v>18575.099999999999</v>
      </c>
      <c r="M18" s="8" t="s">
        <v>45</v>
      </c>
      <c r="O18" s="18" t="s">
        <v>19</v>
      </c>
      <c r="P18" s="35">
        <v>3826</v>
      </c>
      <c r="Q18" s="19">
        <v>3680</v>
      </c>
      <c r="R18" s="19">
        <v>3548</v>
      </c>
      <c r="S18" s="19">
        <v>3314</v>
      </c>
      <c r="T18" s="19">
        <v>3615</v>
      </c>
      <c r="U18" s="19">
        <v>3561</v>
      </c>
      <c r="V18" s="19">
        <v>3091</v>
      </c>
      <c r="W18" s="19">
        <v>2753</v>
      </c>
      <c r="Y18" s="39">
        <f>R18/$R18*100</f>
        <v>100</v>
      </c>
      <c r="Z18" s="39">
        <f t="shared" ref="Z18:AC18" si="14">S18/$R18*100</f>
        <v>93.404735062006765</v>
      </c>
      <c r="AA18" s="39">
        <f t="shared" si="14"/>
        <v>101.88838782412626</v>
      </c>
      <c r="AB18" s="39">
        <f t="shared" si="14"/>
        <v>100.36640360766629</v>
      </c>
      <c r="AC18" s="39">
        <f t="shared" si="14"/>
        <v>87.119503945885</v>
      </c>
      <c r="AE18" s="39">
        <f>G18/$G18*100</f>
        <v>100</v>
      </c>
      <c r="AF18" s="39">
        <f t="shared" ref="AF18:AI18" si="15">H18/$G18*100</f>
        <v>109.27686165977516</v>
      </c>
      <c r="AG18" s="39">
        <f t="shared" si="15"/>
        <v>110.79847783470341</v>
      </c>
      <c r="AH18" s="39">
        <f t="shared" si="15"/>
        <v>102.93999747404025</v>
      </c>
      <c r="AI18" s="39">
        <f t="shared" si="15"/>
        <v>104.45063121537102</v>
      </c>
      <c r="AJ18" s="40"/>
      <c r="AK18" s="5" t="str">
        <f t="shared" si="4"/>
        <v>Bulgaria</v>
      </c>
      <c r="AL18" s="39">
        <f t="shared" si="5"/>
        <v>-1.8799323562570474</v>
      </c>
      <c r="AM18" s="39">
        <f t="shared" si="11"/>
        <v>0.25643982450071262</v>
      </c>
      <c r="AN18" s="39">
        <f t="shared" si="12"/>
        <v>2.13637218075776</v>
      </c>
      <c r="AO18" s="5" t="str">
        <f t="shared" si="13"/>
        <v>absolute decoupling</v>
      </c>
      <c r="AR18" s="60">
        <v>2</v>
      </c>
      <c r="AS18" s="61">
        <v>5.2537232033897361</v>
      </c>
      <c r="AT18" s="60" t="s">
        <v>34</v>
      </c>
    </row>
    <row r="19" spans="1:54" x14ac:dyDescent="0.2">
      <c r="A19" s="7" t="s">
        <v>20</v>
      </c>
      <c r="B19" s="9">
        <v>46056</v>
      </c>
      <c r="C19" s="9">
        <v>46718</v>
      </c>
      <c r="D19" s="9">
        <v>49404.3</v>
      </c>
      <c r="E19" s="9">
        <v>50979.1</v>
      </c>
      <c r="F19" s="9">
        <v>53367.8</v>
      </c>
      <c r="G19" s="9">
        <v>56312.4</v>
      </c>
      <c r="H19" s="9">
        <v>58349.1</v>
      </c>
      <c r="I19" s="9">
        <v>59278</v>
      </c>
      <c r="J19" s="9">
        <v>59287.7</v>
      </c>
      <c r="K19" s="9">
        <v>59873.1</v>
      </c>
      <c r="L19" s="9">
        <v>60155</v>
      </c>
      <c r="M19" s="9">
        <v>58806.9</v>
      </c>
      <c r="O19" s="18" t="s">
        <v>20</v>
      </c>
      <c r="P19" s="35">
        <v>2841</v>
      </c>
      <c r="Q19" s="19">
        <v>2954</v>
      </c>
      <c r="R19" s="19">
        <v>3039</v>
      </c>
      <c r="S19" s="19">
        <v>3025</v>
      </c>
      <c r="T19" s="19">
        <v>3176</v>
      </c>
      <c r="U19" s="19">
        <v>3310</v>
      </c>
      <c r="V19" s="19">
        <v>3334</v>
      </c>
      <c r="W19" s="19">
        <v>3358</v>
      </c>
      <c r="Y19" s="39">
        <f>S19/$S19*100</f>
        <v>100</v>
      </c>
      <c r="Z19" s="39">
        <f>T19/$S19*100</f>
        <v>104.99173553719008</v>
      </c>
      <c r="AA19" s="39">
        <f>U19/$S19*100</f>
        <v>109.42148760330579</v>
      </c>
      <c r="AB19" s="39">
        <f>V19/$S19*100</f>
        <v>110.21487603305783</v>
      </c>
      <c r="AC19" s="39">
        <f>W19/$S19*100</f>
        <v>111.00826446280992</v>
      </c>
      <c r="AE19" s="39">
        <f t="shared" si="6"/>
        <v>100</v>
      </c>
      <c r="AF19" s="39">
        <f t="shared" ref="AF19" si="16">I19/$H19*100</f>
        <v>101.59196971332891</v>
      </c>
      <c r="AG19" s="39">
        <f t="shared" ref="AG19" si="17">J19/$H19*100</f>
        <v>101.60859379150664</v>
      </c>
      <c r="AH19" s="39">
        <f t="shared" ref="AH19" si="18">K19/$H19*100</f>
        <v>102.61186547864492</v>
      </c>
      <c r="AI19" s="39">
        <f t="shared" ref="AI19" si="19">L19/$H19*100</f>
        <v>103.09499203929452</v>
      </c>
      <c r="AJ19" s="40"/>
      <c r="AK19" s="5" t="str">
        <f t="shared" si="4"/>
        <v>Czech Republic</v>
      </c>
      <c r="AL19" s="39">
        <f t="shared" si="5"/>
        <v>2.7239669421487589</v>
      </c>
      <c r="AM19" s="39">
        <f t="shared" si="11"/>
        <v>0.7209879843905056</v>
      </c>
      <c r="AN19" s="39">
        <f t="shared" si="12"/>
        <v>-2.0029789577582533</v>
      </c>
      <c r="AO19" s="5" t="str">
        <f t="shared" si="13"/>
        <v>reverse decoupling</v>
      </c>
      <c r="AR19" s="60">
        <v>3</v>
      </c>
      <c r="AS19" s="61">
        <v>3.954121038050852</v>
      </c>
      <c r="AT19" s="60" t="s">
        <v>43</v>
      </c>
    </row>
    <row r="20" spans="1:54" x14ac:dyDescent="0.2">
      <c r="A20" s="7" t="s">
        <v>21</v>
      </c>
      <c r="B20" s="9">
        <v>88581.1</v>
      </c>
      <c r="C20" s="9">
        <v>89794.5</v>
      </c>
      <c r="D20" s="9">
        <v>90380.3</v>
      </c>
      <c r="E20" s="9">
        <v>94819.199999999997</v>
      </c>
      <c r="F20" s="9">
        <v>98684.5</v>
      </c>
      <c r="G20" s="9">
        <v>102230.7</v>
      </c>
      <c r="H20" s="9">
        <v>104905.1</v>
      </c>
      <c r="I20" s="9">
        <v>104527.2</v>
      </c>
      <c r="J20" s="9">
        <v>0</v>
      </c>
      <c r="K20" s="9">
        <v>0</v>
      </c>
      <c r="L20" s="9">
        <v>0</v>
      </c>
      <c r="M20" s="9">
        <v>0</v>
      </c>
      <c r="O20" s="18" t="s">
        <v>21</v>
      </c>
      <c r="P20" s="35">
        <v>3353</v>
      </c>
      <c r="Q20" s="19">
        <v>3586</v>
      </c>
      <c r="R20" s="19">
        <v>3620</v>
      </c>
      <c r="S20" s="19">
        <v>3860</v>
      </c>
      <c r="T20" s="19">
        <v>4072</v>
      </c>
      <c r="U20" s="19">
        <v>3827</v>
      </c>
      <c r="V20" s="19">
        <v>3732</v>
      </c>
      <c r="W20" s="19">
        <v>4001</v>
      </c>
      <c r="Y20" s="39">
        <f>P20/$P20*100</f>
        <v>100</v>
      </c>
      <c r="Z20" s="39">
        <f t="shared" ref="Z20:AC20" si="20">Q20/$P20*100</f>
        <v>106.94900089472115</v>
      </c>
      <c r="AA20" s="39">
        <f t="shared" si="20"/>
        <v>107.9630181926633</v>
      </c>
      <c r="AB20" s="39">
        <f t="shared" si="20"/>
        <v>115.12078735460783</v>
      </c>
      <c r="AC20" s="39">
        <f t="shared" si="20"/>
        <v>121.44348344765881</v>
      </c>
      <c r="AE20" s="39">
        <f>E20/$E20*100</f>
        <v>100</v>
      </c>
      <c r="AF20" s="39">
        <f t="shared" ref="AF20:AI20" si="21">F20/$E20*100</f>
        <v>104.07649505585368</v>
      </c>
      <c r="AG20" s="39">
        <f t="shared" si="21"/>
        <v>107.81645489521109</v>
      </c>
      <c r="AH20" s="39">
        <f t="shared" si="21"/>
        <v>110.63698069589283</v>
      </c>
      <c r="AI20" s="39">
        <f t="shared" si="21"/>
        <v>110.23843272248659</v>
      </c>
      <c r="AJ20" s="40"/>
      <c r="AK20" s="5" t="str">
        <f t="shared" si="4"/>
        <v>Denmark</v>
      </c>
      <c r="AL20" s="39">
        <f t="shared" si="5"/>
        <v>5.1058753355204276</v>
      </c>
      <c r="AM20" s="39">
        <f t="shared" si="11"/>
        <v>2.7037351085012329</v>
      </c>
      <c r="AN20" s="39">
        <f t="shared" si="12"/>
        <v>-2.4021402270191947</v>
      </c>
      <c r="AO20" s="5" t="str">
        <f t="shared" si="13"/>
        <v>reverse decoupling</v>
      </c>
      <c r="AR20" s="60">
        <v>4</v>
      </c>
      <c r="AS20" s="61">
        <v>3.7664233824103817</v>
      </c>
      <c r="AT20" s="60" t="s">
        <v>37</v>
      </c>
    </row>
    <row r="21" spans="1:54" x14ac:dyDescent="0.2">
      <c r="A21" s="7" t="s">
        <v>47</v>
      </c>
      <c r="B21" s="9">
        <v>1239160.5</v>
      </c>
      <c r="C21" s="9">
        <v>1229998.1000000001</v>
      </c>
      <c r="D21" s="9">
        <v>1228636.1000000001</v>
      </c>
      <c r="E21" s="9">
        <v>1232845.8999999999</v>
      </c>
      <c r="F21" s="9">
        <v>1238170</v>
      </c>
      <c r="G21" s="9">
        <v>1259838</v>
      </c>
      <c r="H21" s="9">
        <v>1255504.3999999999</v>
      </c>
      <c r="I21" s="9">
        <v>1263923.8999999999</v>
      </c>
      <c r="J21" s="9">
        <v>1267390.8</v>
      </c>
      <c r="K21" s="9">
        <v>1283487</v>
      </c>
      <c r="L21" s="9">
        <v>1312707.8</v>
      </c>
      <c r="M21" s="9">
        <v>1321746.5</v>
      </c>
      <c r="O21" s="18" t="s">
        <v>47</v>
      </c>
      <c r="P21" s="35">
        <v>48434</v>
      </c>
      <c r="Q21" s="19">
        <v>46555</v>
      </c>
      <c r="R21" s="19">
        <v>46426</v>
      </c>
      <c r="S21" s="19">
        <v>47887</v>
      </c>
      <c r="T21" s="19">
        <v>48367</v>
      </c>
      <c r="U21" s="19">
        <v>48466</v>
      </c>
      <c r="V21" s="19">
        <v>49237</v>
      </c>
      <c r="W21" s="19">
        <v>48805</v>
      </c>
      <c r="Y21" s="39">
        <f t="shared" ref="Y21:Y38" si="22">S21/$S21*100</f>
        <v>100</v>
      </c>
      <c r="Z21" s="39">
        <f t="shared" ref="Z21:Z38" si="23">T21/$S21*100</f>
        <v>101.00235972184517</v>
      </c>
      <c r="AA21" s="39">
        <f t="shared" ref="AA21:AA38" si="24">U21/$S21*100</f>
        <v>101.20909641447575</v>
      </c>
      <c r="AB21" s="39">
        <f t="shared" ref="AB21:AB38" si="25">V21/$S21*100</f>
        <v>102.81913671768956</v>
      </c>
      <c r="AC21" s="39">
        <f t="shared" ref="AC21:AC38" si="26">W21/$S21*100</f>
        <v>101.91701296802891</v>
      </c>
      <c r="AE21" s="39">
        <f t="shared" si="6"/>
        <v>100</v>
      </c>
      <c r="AF21" s="39">
        <f t="shared" ref="AF21:AF26" si="27">I21/$H21*100</f>
        <v>100.67060696880074</v>
      </c>
      <c r="AG21" s="39">
        <f t="shared" ref="AG21:AG26" si="28">J21/$H21*100</f>
        <v>100.94674299827227</v>
      </c>
      <c r="AH21" s="39">
        <f t="shared" ref="AH21:AH26" si="29">K21/$H21*100</f>
        <v>102.22879346340802</v>
      </c>
      <c r="AI21" s="39">
        <f t="shared" ref="AI21:AI26" si="30">L21/$H21*100</f>
        <v>104.55620864411151</v>
      </c>
      <c r="AJ21" s="40"/>
      <c r="AK21" s="5" t="str">
        <f t="shared" si="4"/>
        <v>Germany</v>
      </c>
      <c r="AL21" s="39">
        <f t="shared" si="5"/>
        <v>0.56508029319022191</v>
      </c>
      <c r="AM21" s="39">
        <f t="shared" si="11"/>
        <v>1.0670603782830295</v>
      </c>
      <c r="AN21" s="39">
        <f t="shared" si="12"/>
        <v>0.50198008509280756</v>
      </c>
      <c r="AO21" s="5" t="str">
        <f t="shared" si="13"/>
        <v>decoupling</v>
      </c>
      <c r="AR21" s="60">
        <v>5</v>
      </c>
      <c r="AS21" s="61">
        <v>3.6927623483303664</v>
      </c>
      <c r="AT21" s="60" t="s">
        <v>22</v>
      </c>
    </row>
    <row r="22" spans="1:54" x14ac:dyDescent="0.2">
      <c r="A22" s="7" t="s">
        <v>22</v>
      </c>
      <c r="B22" s="9">
        <v>4730.7</v>
      </c>
      <c r="C22" s="9">
        <v>5100.3</v>
      </c>
      <c r="D22" s="9">
        <v>5484.2</v>
      </c>
      <c r="E22" s="9">
        <v>5978</v>
      </c>
      <c r="F22" s="9">
        <v>6526.4</v>
      </c>
      <c r="G22" s="9">
        <v>7255.9</v>
      </c>
      <c r="H22" s="9">
        <v>7744.5</v>
      </c>
      <c r="I22" s="9">
        <v>7329.4</v>
      </c>
      <c r="J22" s="9">
        <v>6331.1</v>
      </c>
      <c r="K22" s="9">
        <v>6170.8</v>
      </c>
      <c r="L22" s="9">
        <v>6383.2</v>
      </c>
      <c r="M22" s="9">
        <v>6671.4</v>
      </c>
      <c r="O22" s="18" t="s">
        <v>22</v>
      </c>
      <c r="P22" s="35">
        <v>606</v>
      </c>
      <c r="Q22" s="19">
        <v>587</v>
      </c>
      <c r="R22" s="19">
        <v>536</v>
      </c>
      <c r="S22" s="19">
        <v>602</v>
      </c>
      <c r="T22" s="19">
        <v>524</v>
      </c>
      <c r="U22" s="19">
        <v>452</v>
      </c>
      <c r="V22" s="19">
        <v>406</v>
      </c>
      <c r="W22" s="19">
        <v>399</v>
      </c>
      <c r="Y22" s="39">
        <f t="shared" si="22"/>
        <v>100</v>
      </c>
      <c r="Z22" s="39">
        <f t="shared" si="23"/>
        <v>87.043189368770769</v>
      </c>
      <c r="AA22" s="39">
        <f t="shared" si="24"/>
        <v>75.083056478405325</v>
      </c>
      <c r="AB22" s="39">
        <f t="shared" si="25"/>
        <v>67.441860465116278</v>
      </c>
      <c r="AC22" s="39">
        <f t="shared" si="26"/>
        <v>66.279069767441854</v>
      </c>
      <c r="AE22" s="39">
        <f t="shared" si="6"/>
        <v>100</v>
      </c>
      <c r="AF22" s="39">
        <f t="shared" si="27"/>
        <v>94.640067144425061</v>
      </c>
      <c r="AG22" s="39">
        <f t="shared" si="28"/>
        <v>81.749628768803674</v>
      </c>
      <c r="AH22" s="39">
        <f t="shared" si="29"/>
        <v>79.679772741945897</v>
      </c>
      <c r="AI22" s="39">
        <f t="shared" si="30"/>
        <v>82.422364258506036</v>
      </c>
      <c r="AJ22" s="40"/>
      <c r="AK22" s="5" t="str">
        <f t="shared" si="4"/>
        <v>Estonia</v>
      </c>
      <c r="AL22" s="39">
        <f t="shared" si="5"/>
        <v>-8.7043189368770761</v>
      </c>
      <c r="AM22" s="39">
        <f t="shared" si="11"/>
        <v>-5.0115565885467097</v>
      </c>
      <c r="AN22" s="39">
        <f t="shared" si="12"/>
        <v>3.6927623483303664</v>
      </c>
      <c r="AO22" s="5" t="str">
        <f t="shared" si="13"/>
        <v>absolute decoupling</v>
      </c>
      <c r="AR22" s="60">
        <v>6</v>
      </c>
      <c r="AS22" s="61">
        <v>3.2961918291064576</v>
      </c>
      <c r="AT22" s="60" t="s">
        <v>39</v>
      </c>
    </row>
    <row r="23" spans="1:54" x14ac:dyDescent="0.2">
      <c r="A23" s="7" t="s">
        <v>23</v>
      </c>
      <c r="B23" s="9">
        <v>62088.5</v>
      </c>
      <c r="C23" s="9">
        <v>63780.5</v>
      </c>
      <c r="D23" s="9">
        <v>65116.4</v>
      </c>
      <c r="E23" s="9">
        <v>67316.100000000006</v>
      </c>
      <c r="F23" s="9">
        <v>71738.3</v>
      </c>
      <c r="G23" s="9">
        <v>76427.199999999997</v>
      </c>
      <c r="H23" s="9">
        <v>80959</v>
      </c>
      <c r="I23" s="9">
        <v>80014.7</v>
      </c>
      <c r="J23" s="9">
        <v>75930.7</v>
      </c>
      <c r="K23" s="9">
        <v>76270.3</v>
      </c>
      <c r="L23" s="9">
        <v>75736.3</v>
      </c>
      <c r="M23" s="9">
        <v>76121.8</v>
      </c>
      <c r="O23" s="18" t="s">
        <v>23</v>
      </c>
      <c r="P23" s="35">
        <v>3001</v>
      </c>
      <c r="Q23" s="19">
        <v>3041</v>
      </c>
      <c r="R23" s="19">
        <v>3385</v>
      </c>
      <c r="S23" s="19">
        <v>3398</v>
      </c>
      <c r="T23" s="19">
        <v>3224</v>
      </c>
      <c r="U23" s="19">
        <v>2953</v>
      </c>
      <c r="V23" s="19">
        <v>2846</v>
      </c>
      <c r="W23" s="19">
        <v>2850</v>
      </c>
      <c r="Y23" s="39">
        <f t="shared" si="22"/>
        <v>100</v>
      </c>
      <c r="Z23" s="39">
        <f t="shared" si="23"/>
        <v>94.879340788699238</v>
      </c>
      <c r="AA23" s="39">
        <f t="shared" si="24"/>
        <v>86.904061212477927</v>
      </c>
      <c r="AB23" s="39">
        <f t="shared" si="25"/>
        <v>83.755150088287223</v>
      </c>
      <c r="AC23" s="39">
        <f t="shared" si="26"/>
        <v>83.872866391995288</v>
      </c>
      <c r="AE23" s="39">
        <f t="shared" si="6"/>
        <v>100</v>
      </c>
      <c r="AF23" s="39">
        <f t="shared" si="27"/>
        <v>98.833607134475471</v>
      </c>
      <c r="AG23" s="39">
        <f t="shared" si="28"/>
        <v>93.789078422411336</v>
      </c>
      <c r="AH23" s="39">
        <f t="shared" si="29"/>
        <v>94.208550006793573</v>
      </c>
      <c r="AI23" s="39">
        <f t="shared" si="30"/>
        <v>93.548956879408095</v>
      </c>
      <c r="AJ23" s="40"/>
      <c r="AK23" s="5" t="str">
        <f t="shared" si="4"/>
        <v>Ireland</v>
      </c>
      <c r="AL23" s="39">
        <f t="shared" si="5"/>
        <v>-4.3378457916421436</v>
      </c>
      <c r="AM23" s="39">
        <f t="shared" si="11"/>
        <v>-1.7527143368865712</v>
      </c>
      <c r="AN23" s="39">
        <f t="shared" si="12"/>
        <v>2.5851314547555724</v>
      </c>
      <c r="AO23" s="5" t="str">
        <f t="shared" si="13"/>
        <v>absolute decoupling</v>
      </c>
      <c r="AR23" s="60">
        <v>7</v>
      </c>
      <c r="AS23" s="61">
        <v>2.9971895621484443</v>
      </c>
      <c r="AT23" s="60" t="s">
        <v>36</v>
      </c>
    </row>
    <row r="24" spans="1:54" x14ac:dyDescent="0.2">
      <c r="A24" s="7" t="s">
        <v>24</v>
      </c>
      <c r="B24" s="9">
        <v>119816.4</v>
      </c>
      <c r="C24" s="9">
        <v>126237.9</v>
      </c>
      <c r="D24" s="9">
        <v>129420.4</v>
      </c>
      <c r="E24" s="9">
        <v>134485.9</v>
      </c>
      <c r="F24" s="9">
        <v>140491</v>
      </c>
      <c r="G24" s="9">
        <v>146158.29999999999</v>
      </c>
      <c r="H24" s="9">
        <v>150839.9</v>
      </c>
      <c r="I24" s="9">
        <v>157305.70000000001</v>
      </c>
      <c r="J24" s="9">
        <v>153354.70000000001</v>
      </c>
      <c r="K24" s="9">
        <v>143408.29999999999</v>
      </c>
      <c r="L24" s="9">
        <v>133237</v>
      </c>
      <c r="M24" s="8" t="s">
        <v>45</v>
      </c>
      <c r="O24" s="18" t="s">
        <v>24</v>
      </c>
      <c r="P24" s="35">
        <v>4781</v>
      </c>
      <c r="Q24" s="19">
        <v>4853</v>
      </c>
      <c r="R24" s="19">
        <v>4927</v>
      </c>
      <c r="S24" s="19">
        <v>5002</v>
      </c>
      <c r="T24" s="19">
        <v>5077</v>
      </c>
      <c r="U24" s="19">
        <v>5154</v>
      </c>
      <c r="V24" s="19">
        <v>5892</v>
      </c>
      <c r="W24" s="19">
        <v>5607</v>
      </c>
      <c r="Y24" s="39">
        <f t="shared" si="22"/>
        <v>100</v>
      </c>
      <c r="Z24" s="39">
        <f t="shared" si="23"/>
        <v>101.49940023990405</v>
      </c>
      <c r="AA24" s="39">
        <f t="shared" si="24"/>
        <v>103.03878448620551</v>
      </c>
      <c r="AB24" s="39">
        <f t="shared" si="25"/>
        <v>117.79288284686125</v>
      </c>
      <c r="AC24" s="39">
        <f t="shared" si="26"/>
        <v>112.0951619352259</v>
      </c>
      <c r="AE24" s="39">
        <f t="shared" si="6"/>
        <v>100</v>
      </c>
      <c r="AF24" s="39">
        <f t="shared" si="27"/>
        <v>104.28653161398277</v>
      </c>
      <c r="AG24" s="39">
        <f t="shared" si="28"/>
        <v>101.66719813524141</v>
      </c>
      <c r="AH24" s="39">
        <f t="shared" si="29"/>
        <v>95.073186868991556</v>
      </c>
      <c r="AI24" s="39">
        <f t="shared" si="30"/>
        <v>88.330077121504331</v>
      </c>
      <c r="AJ24" s="40"/>
      <c r="AK24" s="5" t="str">
        <f t="shared" si="4"/>
        <v>Greece</v>
      </c>
      <c r="AL24" s="39">
        <f t="shared" si="5"/>
        <v>4.0483806477408999</v>
      </c>
      <c r="AM24" s="39">
        <f t="shared" si="11"/>
        <v>-3.2553190501982563</v>
      </c>
      <c r="AN24" s="39">
        <f t="shared" si="12"/>
        <v>-7.3036996979391562</v>
      </c>
      <c r="AO24" s="5" t="str">
        <f t="shared" si="13"/>
        <v>reverse decoupling</v>
      </c>
      <c r="AR24" s="60">
        <v>8</v>
      </c>
      <c r="AS24" s="61">
        <v>2.5851314547555724</v>
      </c>
      <c r="AT24" s="60" t="s">
        <v>23</v>
      </c>
    </row>
    <row r="25" spans="1:54" x14ac:dyDescent="0.2">
      <c r="A25" s="7" t="s">
        <v>25</v>
      </c>
      <c r="B25" s="9">
        <v>484612.2</v>
      </c>
      <c r="C25" s="9">
        <v>494234.4</v>
      </c>
      <c r="D25" s="9">
        <v>507469.6</v>
      </c>
      <c r="E25" s="9">
        <v>526178.4</v>
      </c>
      <c r="F25" s="9">
        <v>545793</v>
      </c>
      <c r="G25" s="9">
        <v>566585</v>
      </c>
      <c r="H25" s="9">
        <v>584433.80000000005</v>
      </c>
      <c r="I25" s="9">
        <v>579819.69999999995</v>
      </c>
      <c r="J25" s="9">
        <v>556419.19999999995</v>
      </c>
      <c r="K25" s="9">
        <v>557867.4</v>
      </c>
      <c r="L25" s="9">
        <v>554419.9</v>
      </c>
      <c r="M25" s="9">
        <v>539961.9</v>
      </c>
      <c r="O25" s="18" t="s">
        <v>25</v>
      </c>
      <c r="P25" s="35">
        <v>25746</v>
      </c>
      <c r="Q25" s="19">
        <v>25683</v>
      </c>
      <c r="R25" s="19">
        <v>26209</v>
      </c>
      <c r="S25" s="19">
        <v>26154</v>
      </c>
      <c r="T25" s="19">
        <v>25317</v>
      </c>
      <c r="U25" s="19">
        <v>25108</v>
      </c>
      <c r="V25" s="19">
        <v>23774</v>
      </c>
      <c r="W25" s="19">
        <v>22997</v>
      </c>
      <c r="Y25" s="39">
        <f t="shared" si="22"/>
        <v>100</v>
      </c>
      <c r="Z25" s="39">
        <f t="shared" si="23"/>
        <v>96.799724707501724</v>
      </c>
      <c r="AA25" s="39">
        <f t="shared" si="24"/>
        <v>96.000611761107294</v>
      </c>
      <c r="AB25" s="39">
        <f t="shared" si="25"/>
        <v>90.900053529096894</v>
      </c>
      <c r="AC25" s="39">
        <f t="shared" si="26"/>
        <v>87.929188651831453</v>
      </c>
      <c r="AE25" s="39">
        <f t="shared" si="6"/>
        <v>100</v>
      </c>
      <c r="AF25" s="39">
        <f t="shared" si="27"/>
        <v>99.210500830034107</v>
      </c>
      <c r="AG25" s="39">
        <f t="shared" si="28"/>
        <v>95.206540073486494</v>
      </c>
      <c r="AH25" s="39">
        <f t="shared" si="29"/>
        <v>95.454335461090707</v>
      </c>
      <c r="AI25" s="39">
        <f t="shared" si="30"/>
        <v>94.864448291662796</v>
      </c>
      <c r="AJ25" s="40"/>
      <c r="AK25" s="5" t="str">
        <f t="shared" si="4"/>
        <v>Spain</v>
      </c>
      <c r="AL25" s="39">
        <f t="shared" si="5"/>
        <v>-3.0041293874741921</v>
      </c>
      <c r="AM25" s="39">
        <f t="shared" si="11"/>
        <v>-1.4027268785617801</v>
      </c>
      <c r="AN25" s="39">
        <f t="shared" si="12"/>
        <v>1.601402508912412</v>
      </c>
      <c r="AO25" s="5" t="str">
        <f t="shared" si="13"/>
        <v>decoupling</v>
      </c>
      <c r="AR25" s="60">
        <v>9</v>
      </c>
      <c r="AS25" s="61">
        <v>2.2388933807126756</v>
      </c>
      <c r="AT25" s="60" t="s">
        <v>18</v>
      </c>
    </row>
    <row r="26" spans="1:54" x14ac:dyDescent="0.2">
      <c r="A26" s="7" t="s">
        <v>26</v>
      </c>
      <c r="B26" s="9">
        <v>885723.5</v>
      </c>
      <c r="C26" s="9">
        <v>902056.8</v>
      </c>
      <c r="D26" s="9">
        <v>916911.1</v>
      </c>
      <c r="E26" s="9">
        <v>935134.9</v>
      </c>
      <c r="F26" s="9">
        <v>955919</v>
      </c>
      <c r="G26" s="9">
        <v>977931</v>
      </c>
      <c r="H26" s="9">
        <v>1001048.6</v>
      </c>
      <c r="I26" s="9">
        <v>1002046.6</v>
      </c>
      <c r="J26" s="9">
        <v>1001189.6</v>
      </c>
      <c r="K26" s="9">
        <v>1013837.2</v>
      </c>
      <c r="L26" s="9">
        <v>1020657.8</v>
      </c>
      <c r="M26" s="9">
        <v>1019927.5</v>
      </c>
      <c r="O26" s="18" t="s">
        <v>26</v>
      </c>
      <c r="P26" s="35">
        <v>32444</v>
      </c>
      <c r="Q26" s="19">
        <v>33366</v>
      </c>
      <c r="R26" s="19">
        <v>33990</v>
      </c>
      <c r="S26" s="19">
        <v>34630</v>
      </c>
      <c r="T26" s="19">
        <v>34714</v>
      </c>
      <c r="U26" s="19">
        <v>34504</v>
      </c>
      <c r="V26" s="19">
        <v>34535</v>
      </c>
      <c r="W26" s="19">
        <v>34336</v>
      </c>
      <c r="Y26" s="39">
        <f t="shared" si="22"/>
        <v>100</v>
      </c>
      <c r="Z26" s="39">
        <f t="shared" si="23"/>
        <v>100.24256425064972</v>
      </c>
      <c r="AA26" s="39">
        <f t="shared" si="24"/>
        <v>99.636153624025411</v>
      </c>
      <c r="AB26" s="39">
        <f t="shared" si="25"/>
        <v>99.725671383193756</v>
      </c>
      <c r="AC26" s="39">
        <f t="shared" si="26"/>
        <v>99.151025122725954</v>
      </c>
      <c r="AE26" s="39">
        <f t="shared" si="6"/>
        <v>100</v>
      </c>
      <c r="AF26" s="39">
        <f t="shared" si="27"/>
        <v>100.09969545934135</v>
      </c>
      <c r="AG26" s="39">
        <f t="shared" si="28"/>
        <v>100.01408523022759</v>
      </c>
      <c r="AH26" s="39">
        <f t="shared" si="29"/>
        <v>101.27752039211681</v>
      </c>
      <c r="AI26" s="39">
        <f t="shared" si="30"/>
        <v>101.95886593318247</v>
      </c>
      <c r="AJ26" s="40"/>
      <c r="AK26" s="5" t="str">
        <f t="shared" si="4"/>
        <v>France</v>
      </c>
      <c r="AL26" s="39">
        <f t="shared" si="5"/>
        <v>-0.22148426220040562</v>
      </c>
      <c r="AM26" s="39">
        <f t="shared" si="11"/>
        <v>0.50955567991403961</v>
      </c>
      <c r="AN26" s="39">
        <f t="shared" si="12"/>
        <v>0.73103994211444523</v>
      </c>
      <c r="AO26" s="5" t="str">
        <f t="shared" si="13"/>
        <v>decoupling</v>
      </c>
      <c r="AR26" s="60">
        <v>10</v>
      </c>
      <c r="AS26" s="61">
        <v>2.13637218075776</v>
      </c>
      <c r="AT26" s="60" t="s">
        <v>19</v>
      </c>
    </row>
    <row r="27" spans="1:54" x14ac:dyDescent="0.2">
      <c r="A27" s="7" t="s">
        <v>27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O27" s="18" t="s">
        <v>27</v>
      </c>
      <c r="P27" s="35">
        <v>1311</v>
      </c>
      <c r="Q27" s="19">
        <v>1449</v>
      </c>
      <c r="R27" s="19">
        <v>1654</v>
      </c>
      <c r="S27" s="19">
        <v>1719</v>
      </c>
      <c r="T27" s="19">
        <v>1788</v>
      </c>
      <c r="U27" s="19">
        <v>1743</v>
      </c>
      <c r="V27" s="19">
        <v>1630</v>
      </c>
      <c r="W27" s="19">
        <v>1645</v>
      </c>
      <c r="Y27" s="39">
        <f t="shared" si="22"/>
        <v>100</v>
      </c>
      <c r="Z27" s="39">
        <f t="shared" si="23"/>
        <v>104.01396160558465</v>
      </c>
      <c r="AA27" s="39">
        <f t="shared" si="24"/>
        <v>101.39616055846423</v>
      </c>
      <c r="AB27" s="39">
        <f t="shared" si="25"/>
        <v>94.822571262361848</v>
      </c>
      <c r="AC27" s="39">
        <f t="shared" si="26"/>
        <v>95.695171611401975</v>
      </c>
      <c r="AE27" s="39"/>
      <c r="AF27" s="39"/>
      <c r="AG27" s="39"/>
      <c r="AH27" s="39"/>
      <c r="AI27" s="39"/>
      <c r="AJ27" s="40"/>
      <c r="AK27" s="5" t="str">
        <f t="shared" si="4"/>
        <v>Croatia</v>
      </c>
      <c r="AL27" s="39">
        <f t="shared" si="5"/>
        <v>-1.7801047120418854</v>
      </c>
      <c r="AM27" s="39"/>
      <c r="AN27" s="39"/>
      <c r="AR27" s="60">
        <v>11</v>
      </c>
      <c r="AS27" s="61">
        <v>1.9868213132047354</v>
      </c>
      <c r="AT27" s="60" t="s">
        <v>33</v>
      </c>
    </row>
    <row r="28" spans="1:54" x14ac:dyDescent="0.2">
      <c r="A28" s="7" t="s">
        <v>28</v>
      </c>
      <c r="B28" s="9">
        <v>837702.8</v>
      </c>
      <c r="C28" s="9">
        <v>836380.9</v>
      </c>
      <c r="D28" s="9">
        <v>841034.6</v>
      </c>
      <c r="E28" s="9">
        <v>848382.6</v>
      </c>
      <c r="F28" s="9">
        <v>857009.7</v>
      </c>
      <c r="G28" s="9">
        <v>869721.8</v>
      </c>
      <c r="H28" s="9">
        <v>878250.1</v>
      </c>
      <c r="I28" s="9">
        <v>869509.7</v>
      </c>
      <c r="J28" s="9">
        <v>854009.9</v>
      </c>
      <c r="K28" s="9">
        <v>867237.3</v>
      </c>
      <c r="L28" s="9">
        <v>865966.6</v>
      </c>
      <c r="M28" s="9">
        <v>831222.1</v>
      </c>
      <c r="O28" s="18" t="s">
        <v>28</v>
      </c>
      <c r="P28" s="35">
        <v>31150</v>
      </c>
      <c r="Q28" s="19">
        <v>31664</v>
      </c>
      <c r="R28" s="19">
        <v>32511</v>
      </c>
      <c r="S28" s="19">
        <v>32542</v>
      </c>
      <c r="T28" s="19">
        <v>32472</v>
      </c>
      <c r="U28" s="19">
        <v>32110</v>
      </c>
      <c r="V28" s="19">
        <v>32479</v>
      </c>
      <c r="W28" s="19">
        <v>32500</v>
      </c>
      <c r="Y28" s="39">
        <f t="shared" si="22"/>
        <v>100</v>
      </c>
      <c r="Z28" s="39">
        <f t="shared" si="23"/>
        <v>99.784893368569854</v>
      </c>
      <c r="AA28" s="39">
        <f t="shared" si="24"/>
        <v>98.672484788888198</v>
      </c>
      <c r="AB28" s="39">
        <f t="shared" si="25"/>
        <v>99.806404031712859</v>
      </c>
      <c r="AC28" s="39">
        <f t="shared" si="26"/>
        <v>99.870936021141915</v>
      </c>
      <c r="AE28" s="39">
        <f t="shared" si="6"/>
        <v>100</v>
      </c>
      <c r="AF28" s="39">
        <f t="shared" ref="AF28:AF38" si="31">I28/$H28*100</f>
        <v>99.004793737000426</v>
      </c>
      <c r="AG28" s="39">
        <f t="shared" ref="AG28:AG38" si="32">J28/$H28*100</f>
        <v>97.239943382870095</v>
      </c>
      <c r="AH28" s="39">
        <f t="shared" ref="AH28:AH38" si="33">K28/$H28*100</f>
        <v>98.746051950349909</v>
      </c>
      <c r="AI28" s="39">
        <f t="shared" ref="AI28:AI38" si="34">L28/$H28*100</f>
        <v>98.601366512796289</v>
      </c>
      <c r="AJ28" s="40"/>
      <c r="AK28" s="5" t="str">
        <f t="shared" si="4"/>
        <v>Italy</v>
      </c>
      <c r="AL28" s="39">
        <f t="shared" si="5"/>
        <v>-2.3661729457316472E-2</v>
      </c>
      <c r="AM28" s="39">
        <f t="shared" ref="AM28:AM44" si="35">LINEST(AE28:AI28,,TRUE)</f>
        <v>-0.30560087610579389</v>
      </c>
      <c r="AN28" s="39">
        <f t="shared" si="12"/>
        <v>-0.28193914664847741</v>
      </c>
      <c r="AO28" s="5" t="str">
        <f t="shared" si="13"/>
        <v>reverse decoupling</v>
      </c>
      <c r="AR28" s="60">
        <v>12</v>
      </c>
      <c r="AS28" s="61">
        <v>1.601402508912412</v>
      </c>
      <c r="AT28" s="60" t="s">
        <v>25</v>
      </c>
    </row>
    <row r="29" spans="1:54" x14ac:dyDescent="0.2">
      <c r="A29" s="7" t="s">
        <v>29</v>
      </c>
      <c r="B29" s="9">
        <v>9600.6</v>
      </c>
      <c r="C29" s="9">
        <v>9457.7000000000007</v>
      </c>
      <c r="D29" s="9">
        <v>9393.1</v>
      </c>
      <c r="E29" s="9">
        <v>9750.2000000000007</v>
      </c>
      <c r="F29" s="9">
        <v>10072.700000000001</v>
      </c>
      <c r="G29" s="9">
        <v>10474.6</v>
      </c>
      <c r="H29" s="9">
        <v>11231.7</v>
      </c>
      <c r="I29" s="9">
        <v>11765</v>
      </c>
      <c r="J29" s="9">
        <v>10769</v>
      </c>
      <c r="K29" s="9">
        <v>10982.1</v>
      </c>
      <c r="L29" s="9">
        <v>11242</v>
      </c>
      <c r="M29" s="9">
        <v>11092.1</v>
      </c>
      <c r="O29" s="18" t="s">
        <v>29</v>
      </c>
      <c r="P29" s="35">
        <v>498</v>
      </c>
      <c r="Q29" s="19">
        <v>508</v>
      </c>
      <c r="R29" s="19">
        <v>521</v>
      </c>
      <c r="S29" s="19">
        <v>540</v>
      </c>
      <c r="T29" s="19">
        <v>573</v>
      </c>
      <c r="U29" s="19">
        <v>589</v>
      </c>
      <c r="V29" s="19">
        <v>572</v>
      </c>
      <c r="W29" s="19">
        <v>560</v>
      </c>
      <c r="Y29" s="39">
        <f t="shared" si="22"/>
        <v>100</v>
      </c>
      <c r="Z29" s="39">
        <f t="shared" si="23"/>
        <v>106.11111111111111</v>
      </c>
      <c r="AA29" s="39">
        <f t="shared" si="24"/>
        <v>109.07407407407408</v>
      </c>
      <c r="AB29" s="39">
        <f t="shared" si="25"/>
        <v>105.92592592592594</v>
      </c>
      <c r="AC29" s="39">
        <f t="shared" si="26"/>
        <v>103.7037037037037</v>
      </c>
      <c r="AE29" s="39">
        <f t="shared" si="6"/>
        <v>100</v>
      </c>
      <c r="AF29" s="39">
        <f t="shared" si="31"/>
        <v>104.7481681312713</v>
      </c>
      <c r="AG29" s="39">
        <f t="shared" si="32"/>
        <v>95.880409911233372</v>
      </c>
      <c r="AH29" s="39">
        <f t="shared" si="33"/>
        <v>97.777718421966398</v>
      </c>
      <c r="AI29" s="39">
        <f t="shared" si="34"/>
        <v>100.09170472858071</v>
      </c>
      <c r="AJ29" s="40"/>
      <c r="AK29" s="5" t="str">
        <f t="shared" si="4"/>
        <v>Cyprus</v>
      </c>
      <c r="AL29" s="39">
        <f t="shared" si="5"/>
        <v>0.72222222222222121</v>
      </c>
      <c r="AM29" s="39">
        <f t="shared" si="35"/>
        <v>-0.67870402521434825</v>
      </c>
      <c r="AN29" s="39">
        <f t="shared" si="12"/>
        <v>-1.4009262474365696</v>
      </c>
      <c r="AO29" s="5" t="str">
        <f t="shared" si="13"/>
        <v>reverse decoupling</v>
      </c>
      <c r="AR29" s="60">
        <v>13</v>
      </c>
      <c r="AS29" s="61">
        <v>1.55050608244982</v>
      </c>
      <c r="AT29" s="60" t="s">
        <v>42</v>
      </c>
    </row>
    <row r="30" spans="1:54" x14ac:dyDescent="0.2">
      <c r="A30" s="7" t="s">
        <v>30</v>
      </c>
      <c r="B30" s="9">
        <v>5622.2</v>
      </c>
      <c r="C30" s="9">
        <v>6127.5</v>
      </c>
      <c r="D30" s="9">
        <v>6506.5</v>
      </c>
      <c r="E30" s="9">
        <v>7088.3</v>
      </c>
      <c r="F30" s="9">
        <v>7814.4</v>
      </c>
      <c r="G30" s="9">
        <v>9565.2000000000007</v>
      </c>
      <c r="H30" s="9">
        <v>10947.5</v>
      </c>
      <c r="I30" s="9">
        <v>10342.700000000001</v>
      </c>
      <c r="J30" s="9">
        <v>8137.4</v>
      </c>
      <c r="K30" s="9">
        <v>8372.7999999999993</v>
      </c>
      <c r="L30" s="9">
        <v>8740.4</v>
      </c>
      <c r="M30" s="9">
        <v>9255.2999999999993</v>
      </c>
      <c r="O30" s="18" t="s">
        <v>30</v>
      </c>
      <c r="P30" s="35">
        <v>720</v>
      </c>
      <c r="Q30" s="19">
        <v>716</v>
      </c>
      <c r="R30" s="19">
        <v>942</v>
      </c>
      <c r="S30" s="19">
        <v>861</v>
      </c>
      <c r="T30" s="19">
        <v>752</v>
      </c>
      <c r="U30" s="19">
        <v>753</v>
      </c>
      <c r="V30" s="19">
        <v>680</v>
      </c>
      <c r="W30" s="19">
        <v>721</v>
      </c>
      <c r="Y30" s="39">
        <f t="shared" si="22"/>
        <v>100</v>
      </c>
      <c r="Z30" s="39">
        <f t="shared" si="23"/>
        <v>87.340301974448323</v>
      </c>
      <c r="AA30" s="39">
        <f t="shared" si="24"/>
        <v>87.456445993031366</v>
      </c>
      <c r="AB30" s="39">
        <f t="shared" si="25"/>
        <v>78.97793263646922</v>
      </c>
      <c r="AC30" s="39">
        <f t="shared" si="26"/>
        <v>83.739837398373979</v>
      </c>
      <c r="AE30" s="39">
        <f t="shared" si="6"/>
        <v>100</v>
      </c>
      <c r="AF30" s="39">
        <f t="shared" si="31"/>
        <v>94.475451016213754</v>
      </c>
      <c r="AG30" s="39">
        <f t="shared" si="32"/>
        <v>74.331125827814574</v>
      </c>
      <c r="AH30" s="39">
        <f t="shared" si="33"/>
        <v>76.481388444850424</v>
      </c>
      <c r="AI30" s="39">
        <f t="shared" si="34"/>
        <v>79.839232701530022</v>
      </c>
      <c r="AJ30" s="40"/>
      <c r="AK30" s="5" t="str">
        <f t="shared" si="4"/>
        <v>Latvia</v>
      </c>
      <c r="AL30" s="39">
        <f t="shared" si="5"/>
        <v>-4.0882694541231146</v>
      </c>
      <c r="AM30" s="39">
        <f t="shared" si="35"/>
        <v>-5.8315597168303279</v>
      </c>
      <c r="AN30" s="39">
        <f t="shared" si="12"/>
        <v>-1.7432902627072133</v>
      </c>
      <c r="AO30" s="5" t="str">
        <f t="shared" si="13"/>
        <v>reverse decoupling</v>
      </c>
      <c r="AR30" s="60">
        <v>14</v>
      </c>
      <c r="AS30" s="61">
        <v>0.93742960443292578</v>
      </c>
      <c r="AT30" s="60" t="s">
        <v>44</v>
      </c>
    </row>
    <row r="31" spans="1:54" x14ac:dyDescent="0.2">
      <c r="A31" s="7" t="s">
        <v>31</v>
      </c>
      <c r="B31" s="9">
        <v>9470.6</v>
      </c>
      <c r="C31" s="9">
        <v>10063.6</v>
      </c>
      <c r="D31" s="9">
        <v>11155.8</v>
      </c>
      <c r="E31" s="9">
        <v>12354.6</v>
      </c>
      <c r="F31" s="9">
        <v>13735.5</v>
      </c>
      <c r="G31" s="9">
        <v>15038.8</v>
      </c>
      <c r="H31" s="9">
        <v>16384.400000000001</v>
      </c>
      <c r="I31" s="9">
        <v>16912.7</v>
      </c>
      <c r="J31" s="9">
        <v>14092</v>
      </c>
      <c r="K31" s="9">
        <v>13766.7</v>
      </c>
      <c r="L31" s="9">
        <v>14512.2</v>
      </c>
      <c r="M31" s="9">
        <v>15085.7</v>
      </c>
      <c r="O31" s="18" t="s">
        <v>31</v>
      </c>
      <c r="P31" s="35">
        <v>1260</v>
      </c>
      <c r="Q31" s="19">
        <v>1287</v>
      </c>
      <c r="R31" s="19">
        <v>1326</v>
      </c>
      <c r="S31" s="19">
        <v>1354</v>
      </c>
      <c r="T31" s="19">
        <v>1369</v>
      </c>
      <c r="U31" s="19">
        <v>1206</v>
      </c>
      <c r="V31" s="19">
        <v>1253</v>
      </c>
      <c r="W31" s="19">
        <v>1339</v>
      </c>
      <c r="Y31" s="39">
        <f t="shared" si="22"/>
        <v>100</v>
      </c>
      <c r="Z31" s="39">
        <f t="shared" si="23"/>
        <v>101.10782865583457</v>
      </c>
      <c r="AA31" s="39">
        <f t="shared" si="24"/>
        <v>89.069423929098974</v>
      </c>
      <c r="AB31" s="39">
        <f t="shared" si="25"/>
        <v>92.540620384047273</v>
      </c>
      <c r="AC31" s="39">
        <f t="shared" si="26"/>
        <v>98.892171344165433</v>
      </c>
      <c r="AE31" s="39">
        <f t="shared" si="6"/>
        <v>100</v>
      </c>
      <c r="AF31" s="39">
        <f t="shared" si="31"/>
        <v>103.22440858377479</v>
      </c>
      <c r="AG31" s="39">
        <f t="shared" si="32"/>
        <v>86.00864236712971</v>
      </c>
      <c r="AH31" s="39">
        <f t="shared" si="33"/>
        <v>84.023217206611164</v>
      </c>
      <c r="AI31" s="39">
        <f t="shared" si="34"/>
        <v>88.573277019604006</v>
      </c>
      <c r="AJ31" s="40"/>
      <c r="AK31" s="5" t="str">
        <f t="shared" si="4"/>
        <v>Lithuania</v>
      </c>
      <c r="AL31" s="39">
        <f t="shared" si="5"/>
        <v>-1.0782865583456425</v>
      </c>
      <c r="AM31" s="39">
        <f t="shared" si="35"/>
        <v>-4.2054637337955594</v>
      </c>
      <c r="AN31" s="39">
        <f t="shared" si="12"/>
        <v>-3.1271771754499169</v>
      </c>
      <c r="AO31" s="5" t="str">
        <f t="shared" si="13"/>
        <v>reverse decoupling</v>
      </c>
      <c r="AR31" s="60">
        <v>15</v>
      </c>
      <c r="AS31" s="61">
        <v>0.75471050197882172</v>
      </c>
      <c r="AT31" s="60" t="s">
        <v>35</v>
      </c>
    </row>
    <row r="32" spans="1:54" x14ac:dyDescent="0.2">
      <c r="A32" s="7" t="s">
        <v>32</v>
      </c>
      <c r="B32" s="9">
        <v>11638.6</v>
      </c>
      <c r="C32" s="9">
        <v>12467.4</v>
      </c>
      <c r="D32" s="9">
        <v>12279.8</v>
      </c>
      <c r="E32" s="9">
        <v>12612</v>
      </c>
      <c r="F32" s="9">
        <v>12582.8</v>
      </c>
      <c r="G32" s="9">
        <v>12623</v>
      </c>
      <c r="H32" s="9">
        <v>12912.4</v>
      </c>
      <c r="I32" s="9">
        <v>13335</v>
      </c>
      <c r="J32" s="9">
        <v>13147.9</v>
      </c>
      <c r="K32" s="9">
        <v>13351.7</v>
      </c>
      <c r="L32" s="9">
        <v>13807.1</v>
      </c>
      <c r="M32" s="9">
        <v>13958.2</v>
      </c>
      <c r="O32" s="18" t="s">
        <v>32</v>
      </c>
      <c r="P32" s="35">
        <v>311</v>
      </c>
      <c r="Q32" s="19">
        <v>313</v>
      </c>
      <c r="R32" s="19">
        <v>323</v>
      </c>
      <c r="S32" s="19">
        <v>333</v>
      </c>
      <c r="T32" s="19">
        <v>341</v>
      </c>
      <c r="U32" s="19">
        <v>338</v>
      </c>
      <c r="V32" s="19">
        <v>344</v>
      </c>
      <c r="W32" s="19">
        <v>356</v>
      </c>
      <c r="Y32" s="39">
        <f t="shared" si="22"/>
        <v>100</v>
      </c>
      <c r="Z32" s="39">
        <f t="shared" si="23"/>
        <v>102.40240240240239</v>
      </c>
      <c r="AA32" s="39">
        <f t="shared" si="24"/>
        <v>101.50150150150151</v>
      </c>
      <c r="AB32" s="39">
        <f t="shared" si="25"/>
        <v>103.30330330330331</v>
      </c>
      <c r="AC32" s="39">
        <f t="shared" si="26"/>
        <v>106.90690690690691</v>
      </c>
      <c r="AE32" s="39">
        <f t="shared" si="6"/>
        <v>100</v>
      </c>
      <c r="AF32" s="39">
        <f t="shared" si="31"/>
        <v>103.27282302283076</v>
      </c>
      <c r="AG32" s="39">
        <f t="shared" si="32"/>
        <v>101.82382825810849</v>
      </c>
      <c r="AH32" s="39">
        <f t="shared" si="33"/>
        <v>103.40215606703636</v>
      </c>
      <c r="AI32" s="39">
        <f t="shared" si="34"/>
        <v>106.92899848207924</v>
      </c>
      <c r="AJ32" s="40"/>
      <c r="AK32" s="5" t="str">
        <f t="shared" si="4"/>
        <v>Luxembourg</v>
      </c>
      <c r="AL32" s="39">
        <f t="shared" si="5"/>
        <v>1.4714714714714747</v>
      </c>
      <c r="AM32" s="39">
        <f t="shared" si="35"/>
        <v>1.3987330008364065</v>
      </c>
      <c r="AN32" s="39">
        <f t="shared" si="12"/>
        <v>-7.273847063506822E-2</v>
      </c>
      <c r="AO32" s="5" t="str">
        <f t="shared" si="13"/>
        <v>coupling</v>
      </c>
      <c r="AR32" s="60">
        <v>16</v>
      </c>
      <c r="AS32" s="61">
        <v>0.73103994211444523</v>
      </c>
      <c r="AT32" s="60" t="s">
        <v>26</v>
      </c>
    </row>
    <row r="33" spans="1:46" x14ac:dyDescent="0.2">
      <c r="A33" s="7" t="s">
        <v>33</v>
      </c>
      <c r="B33" s="9">
        <v>42904.4</v>
      </c>
      <c r="C33" s="9">
        <v>44484</v>
      </c>
      <c r="D33" s="9">
        <v>47486.6</v>
      </c>
      <c r="E33" s="9">
        <v>47780.800000000003</v>
      </c>
      <c r="F33" s="9">
        <v>49002.1</v>
      </c>
      <c r="G33" s="9">
        <v>50448.7</v>
      </c>
      <c r="H33" s="9">
        <v>50294.8</v>
      </c>
      <c r="I33" s="9">
        <v>50202.2</v>
      </c>
      <c r="J33" s="9">
        <v>47317.1</v>
      </c>
      <c r="K33" s="9">
        <v>45836.1</v>
      </c>
      <c r="L33" s="9">
        <v>46033.599999999999</v>
      </c>
      <c r="M33" s="9">
        <v>45214.3</v>
      </c>
      <c r="O33" s="18" t="s">
        <v>33</v>
      </c>
      <c r="P33" s="35">
        <v>4592</v>
      </c>
      <c r="Q33" s="19">
        <v>4646</v>
      </c>
      <c r="R33" s="19">
        <v>4711</v>
      </c>
      <c r="S33" s="19">
        <v>4594</v>
      </c>
      <c r="T33" s="19">
        <v>4553</v>
      </c>
      <c r="U33" s="19">
        <v>4312</v>
      </c>
      <c r="V33" s="19">
        <v>4033</v>
      </c>
      <c r="W33" s="19">
        <v>3809</v>
      </c>
      <c r="Y33" s="39">
        <f t="shared" si="22"/>
        <v>100</v>
      </c>
      <c r="Z33" s="39">
        <f t="shared" si="23"/>
        <v>99.10753156290815</v>
      </c>
      <c r="AA33" s="39">
        <f t="shared" si="24"/>
        <v>93.861558554636488</v>
      </c>
      <c r="AB33" s="39">
        <f t="shared" si="25"/>
        <v>87.78841967784065</v>
      </c>
      <c r="AC33" s="39">
        <f t="shared" si="26"/>
        <v>82.912494558119292</v>
      </c>
      <c r="AE33" s="39">
        <f t="shared" si="6"/>
        <v>100</v>
      </c>
      <c r="AF33" s="39">
        <f t="shared" si="31"/>
        <v>99.815885538862858</v>
      </c>
      <c r="AG33" s="39">
        <f t="shared" si="32"/>
        <v>94.079507225399041</v>
      </c>
      <c r="AH33" s="39">
        <f t="shared" si="33"/>
        <v>91.134868813475734</v>
      </c>
      <c r="AI33" s="39">
        <f t="shared" si="34"/>
        <v>91.527553544302791</v>
      </c>
      <c r="AJ33" s="40"/>
      <c r="AK33" s="5" t="str">
        <f t="shared" si="4"/>
        <v>Hungary</v>
      </c>
      <c r="AL33" s="39">
        <f t="shared" si="5"/>
        <v>-4.5494122768828893</v>
      </c>
      <c r="AM33" s="39">
        <f t="shared" si="35"/>
        <v>-2.5625909636781539</v>
      </c>
      <c r="AN33" s="39">
        <f t="shared" si="12"/>
        <v>1.9868213132047354</v>
      </c>
      <c r="AO33" s="5" t="str">
        <f t="shared" si="13"/>
        <v>decoupling</v>
      </c>
      <c r="AR33" s="60">
        <v>17</v>
      </c>
      <c r="AS33" s="61">
        <v>0.50198008509280756</v>
      </c>
      <c r="AT33" s="60" t="s">
        <v>47</v>
      </c>
    </row>
    <row r="34" spans="1:46" x14ac:dyDescent="0.2">
      <c r="A34" s="7" t="s">
        <v>34</v>
      </c>
      <c r="B34" s="9">
        <v>3299.1</v>
      </c>
      <c r="C34" s="9">
        <v>3330.8</v>
      </c>
      <c r="D34" s="9">
        <v>3479.4</v>
      </c>
      <c r="E34" s="9">
        <v>3484.9</v>
      </c>
      <c r="F34" s="9">
        <v>3548.8</v>
      </c>
      <c r="G34" s="9">
        <v>3621.6</v>
      </c>
      <c r="H34" s="9">
        <v>3765.1</v>
      </c>
      <c r="I34" s="9">
        <v>3857.9</v>
      </c>
      <c r="J34" s="9">
        <v>3811.4</v>
      </c>
      <c r="K34" s="9">
        <v>3978.5</v>
      </c>
      <c r="L34" s="9">
        <v>4177.2</v>
      </c>
      <c r="M34" s="9">
        <v>4235.3999999999996</v>
      </c>
      <c r="O34" s="18" t="s">
        <v>34</v>
      </c>
      <c r="P34" s="35">
        <v>250</v>
      </c>
      <c r="Q34" s="19">
        <v>251</v>
      </c>
      <c r="R34" s="19">
        <v>253</v>
      </c>
      <c r="S34" s="19">
        <v>266</v>
      </c>
      <c r="T34" s="19">
        <v>276</v>
      </c>
      <c r="U34" s="19">
        <v>268</v>
      </c>
      <c r="V34" s="19">
        <v>249</v>
      </c>
      <c r="W34" s="19">
        <v>243</v>
      </c>
      <c r="Y34" s="39">
        <f t="shared" si="22"/>
        <v>100</v>
      </c>
      <c r="Z34" s="39">
        <f t="shared" si="23"/>
        <v>103.75939849624061</v>
      </c>
      <c r="AA34" s="39">
        <f t="shared" si="24"/>
        <v>100.75187969924812</v>
      </c>
      <c r="AB34" s="39">
        <f t="shared" si="25"/>
        <v>93.609022556390968</v>
      </c>
      <c r="AC34" s="39">
        <f t="shared" si="26"/>
        <v>91.353383458646618</v>
      </c>
      <c r="AE34" s="39">
        <f t="shared" si="6"/>
        <v>100</v>
      </c>
      <c r="AF34" s="39">
        <f t="shared" si="31"/>
        <v>102.46474197232477</v>
      </c>
      <c r="AG34" s="39">
        <f t="shared" si="32"/>
        <v>101.22971501420946</v>
      </c>
      <c r="AH34" s="39">
        <f t="shared" si="33"/>
        <v>105.6678441475658</v>
      </c>
      <c r="AI34" s="39">
        <f t="shared" si="34"/>
        <v>110.94526041804997</v>
      </c>
      <c r="AJ34" s="40"/>
      <c r="AK34" s="5" t="str">
        <f t="shared" si="4"/>
        <v>Malta</v>
      </c>
      <c r="AL34" s="39">
        <f t="shared" si="5"/>
        <v>-2.7443609022556399</v>
      </c>
      <c r="AM34" s="39">
        <f t="shared" si="35"/>
        <v>2.5093623011340966</v>
      </c>
      <c r="AN34" s="39">
        <f t="shared" si="12"/>
        <v>5.2537232033897361</v>
      </c>
      <c r="AO34" s="5" t="str">
        <f t="shared" si="13"/>
        <v>absolute decoupling</v>
      </c>
      <c r="AR34" s="60">
        <v>18</v>
      </c>
      <c r="AS34" s="61">
        <v>-7.273847063506822E-2</v>
      </c>
      <c r="AT34" s="60" t="s">
        <v>32</v>
      </c>
    </row>
    <row r="35" spans="1:46" x14ac:dyDescent="0.2">
      <c r="A35" s="7" t="s">
        <v>35</v>
      </c>
      <c r="B35" s="9">
        <v>237679</v>
      </c>
      <c r="C35" s="9">
        <v>239592</v>
      </c>
      <c r="D35" s="9">
        <v>239307</v>
      </c>
      <c r="E35" s="9">
        <v>242518</v>
      </c>
      <c r="F35" s="9">
        <v>245144</v>
      </c>
      <c r="G35" s="9">
        <v>244614</v>
      </c>
      <c r="H35" s="9">
        <v>249402</v>
      </c>
      <c r="I35" s="9">
        <v>251931</v>
      </c>
      <c r="J35" s="9">
        <v>245942</v>
      </c>
      <c r="K35" s="9">
        <v>247930</v>
      </c>
      <c r="L35" s="9">
        <v>246358</v>
      </c>
      <c r="M35" s="9">
        <v>242333</v>
      </c>
      <c r="O35" s="18" t="s">
        <v>35</v>
      </c>
      <c r="P35" s="35">
        <v>10161</v>
      </c>
      <c r="Q35" s="19">
        <v>10178</v>
      </c>
      <c r="R35" s="19">
        <v>10164</v>
      </c>
      <c r="S35" s="19">
        <v>10343</v>
      </c>
      <c r="T35" s="19">
        <v>10258</v>
      </c>
      <c r="U35" s="19">
        <v>10123</v>
      </c>
      <c r="V35" s="19">
        <v>9851</v>
      </c>
      <c r="W35" s="19">
        <v>9947</v>
      </c>
      <c r="Y35" s="39">
        <f t="shared" si="22"/>
        <v>100</v>
      </c>
      <c r="Z35" s="39">
        <f t="shared" si="23"/>
        <v>99.178188146572566</v>
      </c>
      <c r="AA35" s="39">
        <f t="shared" si="24"/>
        <v>97.872957555834859</v>
      </c>
      <c r="AB35" s="39">
        <f t="shared" si="25"/>
        <v>95.243159624867062</v>
      </c>
      <c r="AC35" s="39">
        <f t="shared" si="26"/>
        <v>96.17132360050276</v>
      </c>
      <c r="AE35" s="39">
        <f t="shared" si="6"/>
        <v>100</v>
      </c>
      <c r="AF35" s="39">
        <f t="shared" si="31"/>
        <v>101.01402554911347</v>
      </c>
      <c r="AG35" s="39">
        <f t="shared" si="32"/>
        <v>98.612681534229878</v>
      </c>
      <c r="AH35" s="39">
        <f t="shared" si="33"/>
        <v>99.409788213406472</v>
      </c>
      <c r="AI35" s="39">
        <f t="shared" si="34"/>
        <v>98.779480517397616</v>
      </c>
      <c r="AJ35" s="40"/>
      <c r="AK35" s="5" t="str">
        <f t="shared" si="4"/>
        <v>Netherlands</v>
      </c>
      <c r="AL35" s="39">
        <f t="shared" si="5"/>
        <v>-1.1592381320699983</v>
      </c>
      <c r="AM35" s="39">
        <f t="shared" si="35"/>
        <v>-0.40452763009117654</v>
      </c>
      <c r="AN35" s="39">
        <f t="shared" si="12"/>
        <v>0.75471050197882172</v>
      </c>
      <c r="AO35" s="5" t="str">
        <f t="shared" si="13"/>
        <v>decoupling</v>
      </c>
      <c r="AR35" s="60">
        <v>19</v>
      </c>
      <c r="AS35" s="61">
        <v>-0.28193914664847741</v>
      </c>
      <c r="AT35" s="60" t="s">
        <v>28</v>
      </c>
    </row>
    <row r="36" spans="1:46" x14ac:dyDescent="0.2">
      <c r="A36" s="7" t="s">
        <v>36</v>
      </c>
      <c r="B36" s="9">
        <v>127835.2</v>
      </c>
      <c r="C36" s="9">
        <v>129267.2</v>
      </c>
      <c r="D36" s="9">
        <v>130683.3</v>
      </c>
      <c r="E36" s="9">
        <v>133496.1</v>
      </c>
      <c r="F36" s="9">
        <v>136556.29999999999</v>
      </c>
      <c r="G36" s="9">
        <v>138890.70000000001</v>
      </c>
      <c r="H36" s="9">
        <v>140560</v>
      </c>
      <c r="I36" s="9">
        <v>142252.29999999999</v>
      </c>
      <c r="J36" s="9">
        <v>142643</v>
      </c>
      <c r="K36" s="9">
        <v>145562</v>
      </c>
      <c r="L36" s="9">
        <v>146895.70000000001</v>
      </c>
      <c r="M36" s="9">
        <v>147574</v>
      </c>
      <c r="O36" s="18" t="s">
        <v>36</v>
      </c>
      <c r="P36" s="35">
        <v>5047</v>
      </c>
      <c r="Q36" s="19">
        <v>5072</v>
      </c>
      <c r="R36" s="19">
        <v>5293</v>
      </c>
      <c r="S36" s="19">
        <v>4951</v>
      </c>
      <c r="T36" s="19">
        <v>4997</v>
      </c>
      <c r="U36" s="19">
        <v>4921</v>
      </c>
      <c r="V36" s="19">
        <v>4678</v>
      </c>
      <c r="W36" s="19">
        <v>4650</v>
      </c>
      <c r="Y36" s="39">
        <f t="shared" si="22"/>
        <v>100</v>
      </c>
      <c r="Z36" s="39">
        <f t="shared" si="23"/>
        <v>100.92910523126642</v>
      </c>
      <c r="AA36" s="39">
        <f t="shared" si="24"/>
        <v>99.394061805695827</v>
      </c>
      <c r="AB36" s="39">
        <f t="shared" si="25"/>
        <v>94.48596243183195</v>
      </c>
      <c r="AC36" s="39">
        <f t="shared" si="26"/>
        <v>93.920420117148055</v>
      </c>
      <c r="AE36" s="39">
        <f t="shared" si="6"/>
        <v>100</v>
      </c>
      <c r="AF36" s="39">
        <f t="shared" si="31"/>
        <v>101.20396983494592</v>
      </c>
      <c r="AG36" s="39">
        <f t="shared" si="32"/>
        <v>101.48192942515652</v>
      </c>
      <c r="AH36" s="39">
        <f t="shared" si="33"/>
        <v>103.55862265224816</v>
      </c>
      <c r="AI36" s="39">
        <f t="shared" si="34"/>
        <v>104.50747011952193</v>
      </c>
      <c r="AJ36" s="40"/>
      <c r="AK36" s="5" t="str">
        <f t="shared" si="4"/>
        <v>Austria</v>
      </c>
      <c r="AL36" s="39">
        <f t="shared" si="5"/>
        <v>-1.8602302565138353</v>
      </c>
      <c r="AM36" s="39">
        <f t="shared" si="35"/>
        <v>1.136959305634609</v>
      </c>
      <c r="AN36" s="39">
        <f t="shared" si="12"/>
        <v>2.9971895621484443</v>
      </c>
      <c r="AO36" s="5" t="str">
        <f t="shared" si="13"/>
        <v>absolute decoupling</v>
      </c>
      <c r="AR36" s="60">
        <v>20</v>
      </c>
      <c r="AS36" s="61">
        <v>-0.58841556695482766</v>
      </c>
      <c r="AT36" s="60" t="s">
        <v>41</v>
      </c>
    </row>
    <row r="37" spans="1:46" x14ac:dyDescent="0.2">
      <c r="A37" s="7" t="s">
        <v>37</v>
      </c>
      <c r="B37" s="9">
        <v>135248.70000000001</v>
      </c>
      <c r="C37" s="9">
        <v>139902</v>
      </c>
      <c r="D37" s="9">
        <v>142855.6</v>
      </c>
      <c r="E37" s="9">
        <v>149626.79999999999</v>
      </c>
      <c r="F37" s="9">
        <v>152695.5</v>
      </c>
      <c r="G37" s="9">
        <v>160326.1</v>
      </c>
      <c r="H37" s="9">
        <v>168205.6</v>
      </c>
      <c r="I37" s="9">
        <v>177874.6</v>
      </c>
      <c r="J37" s="9">
        <v>181555.7</v>
      </c>
      <c r="K37" s="9">
        <v>187287.5</v>
      </c>
      <c r="L37" s="9">
        <v>192213.3</v>
      </c>
      <c r="M37" s="9">
        <v>194581.6</v>
      </c>
      <c r="O37" s="18" t="s">
        <v>37</v>
      </c>
      <c r="P37" s="35">
        <v>9759</v>
      </c>
      <c r="Q37" s="19">
        <v>12169</v>
      </c>
      <c r="R37" s="19">
        <v>12234</v>
      </c>
      <c r="S37" s="19">
        <v>12264</v>
      </c>
      <c r="T37" s="19">
        <v>12194</v>
      </c>
      <c r="U37" s="19">
        <v>12053</v>
      </c>
      <c r="V37" s="19">
        <v>12032</v>
      </c>
      <c r="W37" s="19">
        <v>12129</v>
      </c>
      <c r="Y37" s="39">
        <f t="shared" si="22"/>
        <v>100</v>
      </c>
      <c r="Z37" s="39">
        <f t="shared" si="23"/>
        <v>99.429223744292244</v>
      </c>
      <c r="AA37" s="39">
        <f t="shared" si="24"/>
        <v>98.279517286366598</v>
      </c>
      <c r="AB37" s="39">
        <f t="shared" si="25"/>
        <v>98.10828440965426</v>
      </c>
      <c r="AC37" s="39">
        <f t="shared" si="26"/>
        <v>98.899217221135032</v>
      </c>
      <c r="AE37" s="39">
        <f t="shared" si="6"/>
        <v>100</v>
      </c>
      <c r="AF37" s="39">
        <f t="shared" si="31"/>
        <v>105.74832229129115</v>
      </c>
      <c r="AG37" s="39">
        <f t="shared" si="32"/>
        <v>107.93677499441161</v>
      </c>
      <c r="AH37" s="39">
        <f t="shared" si="33"/>
        <v>111.34439043646584</v>
      </c>
      <c r="AI37" s="39">
        <f t="shared" si="34"/>
        <v>114.2728303932806</v>
      </c>
      <c r="AJ37" s="40"/>
      <c r="AK37" s="5" t="str">
        <f t="shared" si="4"/>
        <v>Poland</v>
      </c>
      <c r="AL37" s="39">
        <f t="shared" si="5"/>
        <v>-0.35225048923679197</v>
      </c>
      <c r="AM37" s="39">
        <f t="shared" si="35"/>
        <v>3.4141728931735895</v>
      </c>
      <c r="AN37" s="39">
        <f t="shared" si="12"/>
        <v>3.7664233824103817</v>
      </c>
      <c r="AO37" s="5" t="str">
        <f t="shared" si="13"/>
        <v>absolute decoupling</v>
      </c>
      <c r="AR37" s="60">
        <v>21</v>
      </c>
      <c r="AS37" s="61">
        <v>-0.91435520381164259</v>
      </c>
      <c r="AT37" s="60" t="s">
        <v>38</v>
      </c>
    </row>
    <row r="38" spans="1:46" x14ac:dyDescent="0.2">
      <c r="A38" s="7" t="s">
        <v>38</v>
      </c>
      <c r="B38" s="9">
        <v>96203.7</v>
      </c>
      <c r="C38" s="9">
        <v>97202.7</v>
      </c>
      <c r="D38" s="9">
        <v>96802.5</v>
      </c>
      <c r="E38" s="9">
        <v>99355</v>
      </c>
      <c r="F38" s="9">
        <v>100708.2</v>
      </c>
      <c r="G38" s="9">
        <v>102636.8</v>
      </c>
      <c r="H38" s="9">
        <v>105391.8</v>
      </c>
      <c r="I38" s="9">
        <v>106519.7</v>
      </c>
      <c r="J38" s="9">
        <v>103950.3</v>
      </c>
      <c r="K38" s="9">
        <v>106930</v>
      </c>
      <c r="L38" s="9">
        <v>103858.8</v>
      </c>
      <c r="M38" s="9">
        <v>98912</v>
      </c>
      <c r="O38" s="18" t="s">
        <v>38</v>
      </c>
      <c r="P38" s="35">
        <v>4665</v>
      </c>
      <c r="Q38" s="19">
        <v>4745</v>
      </c>
      <c r="R38" s="19">
        <v>4898</v>
      </c>
      <c r="S38" s="19">
        <v>4967</v>
      </c>
      <c r="T38" s="19">
        <v>5472</v>
      </c>
      <c r="U38" s="19">
        <v>5496</v>
      </c>
      <c r="V38" s="19">
        <v>5457</v>
      </c>
      <c r="W38" s="19">
        <v>5139</v>
      </c>
      <c r="Y38" s="39">
        <f t="shared" si="22"/>
        <v>100</v>
      </c>
      <c r="Z38" s="39">
        <f t="shared" si="23"/>
        <v>110.1671028790014</v>
      </c>
      <c r="AA38" s="39">
        <f t="shared" si="24"/>
        <v>110.65029192671633</v>
      </c>
      <c r="AB38" s="39">
        <f t="shared" si="25"/>
        <v>109.86510972417958</v>
      </c>
      <c r="AC38" s="39">
        <f t="shared" si="26"/>
        <v>103.46285484195693</v>
      </c>
      <c r="AE38" s="39">
        <f t="shared" si="6"/>
        <v>100</v>
      </c>
      <c r="AF38" s="39">
        <f t="shared" si="31"/>
        <v>101.0701971121093</v>
      </c>
      <c r="AG38" s="39">
        <f t="shared" si="32"/>
        <v>98.632246531513829</v>
      </c>
      <c r="AH38" s="39">
        <f t="shared" si="33"/>
        <v>101.45950633730519</v>
      </c>
      <c r="AI38" s="39">
        <f t="shared" si="34"/>
        <v>98.545427632889854</v>
      </c>
      <c r="AJ38" s="40"/>
      <c r="AK38" s="5" t="str">
        <f t="shared" si="4"/>
        <v>Portugal</v>
      </c>
      <c r="AL38" s="39">
        <f t="shared" si="5"/>
        <v>0.6623716529092023</v>
      </c>
      <c r="AM38" s="39">
        <f t="shared" si="35"/>
        <v>-0.25198355090244029</v>
      </c>
      <c r="AN38" s="39">
        <f t="shared" si="12"/>
        <v>-0.91435520381164259</v>
      </c>
      <c r="AO38" s="5" t="str">
        <f t="shared" si="13"/>
        <v>reverse decoupling</v>
      </c>
      <c r="AR38" s="60">
        <v>22</v>
      </c>
      <c r="AS38" s="61">
        <v>-1.4009262474365696</v>
      </c>
      <c r="AT38" s="60" t="s">
        <v>29</v>
      </c>
    </row>
    <row r="39" spans="1:46" x14ac:dyDescent="0.2">
      <c r="A39" s="7" t="s">
        <v>39</v>
      </c>
      <c r="B39" s="9">
        <v>37304.800000000003</v>
      </c>
      <c r="C39" s="9">
        <v>39660.6</v>
      </c>
      <c r="D39" s="9">
        <v>42940.1</v>
      </c>
      <c r="E39" s="9">
        <v>49673.5</v>
      </c>
      <c r="F39" s="9">
        <v>54628.4</v>
      </c>
      <c r="G39" s="9">
        <v>61521.599999999999</v>
      </c>
      <c r="H39" s="9">
        <v>68620.399999999994</v>
      </c>
      <c r="I39" s="9">
        <v>74577.7</v>
      </c>
      <c r="J39" s="9">
        <v>67030.8</v>
      </c>
      <c r="K39" s="9">
        <v>66895.199999999997</v>
      </c>
      <c r="L39" s="8" t="s">
        <v>45</v>
      </c>
      <c r="M39" s="8" t="s">
        <v>45</v>
      </c>
      <c r="O39" s="18" t="s">
        <v>39</v>
      </c>
      <c r="P39" s="35">
        <v>7483</v>
      </c>
      <c r="Q39" s="19">
        <v>8173</v>
      </c>
      <c r="R39" s="19">
        <v>8392</v>
      </c>
      <c r="S39" s="19">
        <v>8161</v>
      </c>
      <c r="T39" s="19">
        <v>8439</v>
      </c>
      <c r="U39" s="19">
        <v>7768</v>
      </c>
      <c r="V39" s="19">
        <v>7830</v>
      </c>
      <c r="W39" s="19">
        <v>7800</v>
      </c>
      <c r="Y39" s="39">
        <f>R39/$R39*100</f>
        <v>100</v>
      </c>
      <c r="Z39" s="39">
        <f t="shared" ref="Z39:AC39" si="36">S39/$R39*100</f>
        <v>97.247378455672077</v>
      </c>
      <c r="AA39" s="39">
        <f t="shared" si="36"/>
        <v>100.56005719733079</v>
      </c>
      <c r="AB39" s="39">
        <f t="shared" si="36"/>
        <v>92.564346997140134</v>
      </c>
      <c r="AC39" s="39">
        <f t="shared" si="36"/>
        <v>93.303145853193513</v>
      </c>
      <c r="AE39" s="39">
        <f>G39/$G39*100</f>
        <v>100</v>
      </c>
      <c r="AF39" s="39">
        <f t="shared" ref="AF39:AI39" si="37">H39/$G39*100</f>
        <v>111.5387116069803</v>
      </c>
      <c r="AG39" s="39">
        <f t="shared" si="37"/>
        <v>121.22197732178617</v>
      </c>
      <c r="AH39" s="39">
        <f t="shared" si="37"/>
        <v>108.95490364359834</v>
      </c>
      <c r="AI39" s="39">
        <f t="shared" si="37"/>
        <v>108.73449325115081</v>
      </c>
      <c r="AJ39" s="40"/>
      <c r="AK39" s="5" t="str">
        <f t="shared" si="4"/>
        <v>Romania</v>
      </c>
      <c r="AL39" s="39">
        <f t="shared" si="5"/>
        <v>-1.8076739752144915</v>
      </c>
      <c r="AM39" s="39">
        <f t="shared" si="35"/>
        <v>1.4885178538919659</v>
      </c>
      <c r="AN39" s="39">
        <f t="shared" si="12"/>
        <v>3.2961918291064576</v>
      </c>
      <c r="AO39" s="5" t="str">
        <f t="shared" si="13"/>
        <v>absolute decoupling</v>
      </c>
      <c r="AR39" s="60">
        <v>23</v>
      </c>
      <c r="AS39" s="61">
        <v>-1.7432902627072133</v>
      </c>
      <c r="AT39" s="60" t="s">
        <v>30</v>
      </c>
    </row>
    <row r="40" spans="1:46" x14ac:dyDescent="0.2">
      <c r="A40" s="7" t="s">
        <v>40</v>
      </c>
      <c r="B40" s="9">
        <v>14526.7</v>
      </c>
      <c r="C40" s="9">
        <v>14862</v>
      </c>
      <c r="D40" s="9">
        <v>15314.7</v>
      </c>
      <c r="E40" s="9">
        <v>15853.1</v>
      </c>
      <c r="F40" s="9">
        <v>16399.3</v>
      </c>
      <c r="G40" s="9">
        <v>16834.2</v>
      </c>
      <c r="H40" s="9">
        <v>17872.599999999999</v>
      </c>
      <c r="I40" s="9">
        <v>18362.7</v>
      </c>
      <c r="J40" s="9">
        <v>18243.5</v>
      </c>
      <c r="K40" s="9">
        <v>18617</v>
      </c>
      <c r="L40" s="9">
        <v>18807.5</v>
      </c>
      <c r="M40" s="9">
        <v>18129.7</v>
      </c>
      <c r="O40" s="18" t="s">
        <v>40</v>
      </c>
      <c r="P40" s="35">
        <v>969</v>
      </c>
      <c r="Q40" s="19">
        <v>989</v>
      </c>
      <c r="R40" s="19">
        <v>1036</v>
      </c>
      <c r="S40" s="19">
        <v>1060</v>
      </c>
      <c r="T40" s="19">
        <v>1095</v>
      </c>
      <c r="U40" s="19">
        <v>1069</v>
      </c>
      <c r="V40" s="19">
        <v>1004</v>
      </c>
      <c r="W40" s="19">
        <v>844</v>
      </c>
      <c r="Y40" s="39">
        <f t="shared" ref="Y40:AC44" si="38">S40/$S40*100</f>
        <v>100</v>
      </c>
      <c r="Z40" s="39">
        <f t="shared" si="38"/>
        <v>103.30188679245282</v>
      </c>
      <c r="AA40" s="39">
        <f t="shared" si="38"/>
        <v>100.84905660377359</v>
      </c>
      <c r="AB40" s="39">
        <f t="shared" si="38"/>
        <v>94.716981132075475</v>
      </c>
      <c r="AC40" s="39">
        <f t="shared" si="38"/>
        <v>79.622641509433961</v>
      </c>
      <c r="AE40" s="39">
        <f t="shared" si="6"/>
        <v>100</v>
      </c>
      <c r="AF40" s="39">
        <f t="shared" ref="AF40:AF44" si="39">I40/$H40*100</f>
        <v>102.74218636348378</v>
      </c>
      <c r="AG40" s="39">
        <f t="shared" ref="AG40:AG44" si="40">J40/$H40*100</f>
        <v>102.07524366908005</v>
      </c>
      <c r="AH40" s="39">
        <f t="shared" ref="AH40:AH44" si="41">K40/$H40*100</f>
        <v>104.16503474592393</v>
      </c>
      <c r="AI40" s="39">
        <f t="shared" ref="AI40:AI44" si="42">L40/$H40*100</f>
        <v>105.2309121224668</v>
      </c>
      <c r="AJ40" s="40"/>
      <c r="AK40" s="5" t="str">
        <f t="shared" si="4"/>
        <v>Slovenia</v>
      </c>
      <c r="AL40" s="39">
        <f t="shared" si="5"/>
        <v>-4.9339622641509404</v>
      </c>
      <c r="AM40" s="39">
        <f t="shared" si="35"/>
        <v>1.188467262737376</v>
      </c>
      <c r="AN40" s="39">
        <f t="shared" si="12"/>
        <v>6.1224295268883164</v>
      </c>
      <c r="AO40" s="5" t="str">
        <f t="shared" si="13"/>
        <v>absolute decoupling</v>
      </c>
      <c r="AR40" s="60">
        <v>24</v>
      </c>
      <c r="AS40" s="61">
        <v>-2.0029789577582533</v>
      </c>
      <c r="AT40" s="60" t="s">
        <v>20</v>
      </c>
    </row>
    <row r="41" spans="1:46" x14ac:dyDescent="0.2">
      <c r="A41" s="7" t="s">
        <v>41</v>
      </c>
      <c r="B41" s="9">
        <v>18778.7</v>
      </c>
      <c r="C41" s="9">
        <v>19585.599999999999</v>
      </c>
      <c r="D41" s="9">
        <v>19641.7</v>
      </c>
      <c r="E41" s="9">
        <v>20483.7</v>
      </c>
      <c r="F41" s="9">
        <v>21712.2</v>
      </c>
      <c r="G41" s="9">
        <v>23008.9</v>
      </c>
      <c r="H41" s="9">
        <v>24555.8</v>
      </c>
      <c r="I41" s="9">
        <v>26003.599999999999</v>
      </c>
      <c r="J41" s="9">
        <v>25976.7</v>
      </c>
      <c r="K41" s="9">
        <v>25817.8</v>
      </c>
      <c r="L41" s="9">
        <v>25640.3</v>
      </c>
      <c r="M41" s="9">
        <v>25525.599999999999</v>
      </c>
      <c r="O41" s="18" t="s">
        <v>41</v>
      </c>
      <c r="P41" s="35">
        <v>1475</v>
      </c>
      <c r="Q41" s="19">
        <v>1558</v>
      </c>
      <c r="R41" s="19">
        <v>1623</v>
      </c>
      <c r="S41" s="19">
        <v>1669</v>
      </c>
      <c r="T41" s="19">
        <v>1772</v>
      </c>
      <c r="U41" s="19">
        <v>1745</v>
      </c>
      <c r="V41" s="19">
        <v>1809</v>
      </c>
      <c r="W41" s="19">
        <v>1767</v>
      </c>
      <c r="Y41" s="39">
        <f t="shared" si="38"/>
        <v>100</v>
      </c>
      <c r="Z41" s="39">
        <f t="shared" si="38"/>
        <v>106.17136009586578</v>
      </c>
      <c r="AA41" s="39">
        <f t="shared" si="38"/>
        <v>104.55362492510486</v>
      </c>
      <c r="AB41" s="39">
        <f t="shared" si="38"/>
        <v>108.38825644098262</v>
      </c>
      <c r="AC41" s="39">
        <f t="shared" si="38"/>
        <v>105.87177950868785</v>
      </c>
      <c r="AE41" s="39">
        <f t="shared" si="6"/>
        <v>100</v>
      </c>
      <c r="AF41" s="39">
        <f t="shared" si="39"/>
        <v>105.89595940673892</v>
      </c>
      <c r="AG41" s="39">
        <f t="shared" si="40"/>
        <v>105.78641298593408</v>
      </c>
      <c r="AH41" s="39">
        <f t="shared" si="41"/>
        <v>105.13931535523176</v>
      </c>
      <c r="AI41" s="39">
        <f t="shared" si="42"/>
        <v>104.41647187222571</v>
      </c>
      <c r="AJ41" s="40"/>
      <c r="AK41" s="5" t="str">
        <f t="shared" si="4"/>
        <v>Slovakia</v>
      </c>
      <c r="AL41" s="39">
        <f t="shared" si="5"/>
        <v>1.3960455362492539</v>
      </c>
      <c r="AM41" s="39">
        <f t="shared" si="35"/>
        <v>0.80762996929442621</v>
      </c>
      <c r="AN41" s="39">
        <f t="shared" si="12"/>
        <v>-0.58841556695482766</v>
      </c>
      <c r="AO41" s="5" t="str">
        <f t="shared" si="13"/>
        <v>reverse decoupling</v>
      </c>
      <c r="AR41" s="60">
        <v>25</v>
      </c>
      <c r="AS41" s="61">
        <v>-2.4021402270191947</v>
      </c>
      <c r="AT41" s="60" t="s">
        <v>21</v>
      </c>
    </row>
    <row r="42" spans="1:46" x14ac:dyDescent="0.2">
      <c r="A42" s="7" t="s">
        <v>42</v>
      </c>
      <c r="B42" s="9">
        <v>68216.3</v>
      </c>
      <c r="C42" s="9">
        <v>69780.800000000003</v>
      </c>
      <c r="D42" s="9">
        <v>72979.100000000006</v>
      </c>
      <c r="E42" s="9">
        <v>75410.399999999994</v>
      </c>
      <c r="F42" s="9">
        <v>77847</v>
      </c>
      <c r="G42" s="9">
        <v>81344.100000000006</v>
      </c>
      <c r="H42" s="9">
        <v>84019.5</v>
      </c>
      <c r="I42" s="9">
        <v>85756.5</v>
      </c>
      <c r="J42" s="9">
        <v>82495.100000000006</v>
      </c>
      <c r="K42" s="9">
        <v>85470.3</v>
      </c>
      <c r="L42" s="9">
        <v>88147.8</v>
      </c>
      <c r="M42" s="9">
        <v>88330.9</v>
      </c>
      <c r="O42" s="18" t="s">
        <v>42</v>
      </c>
      <c r="P42" s="35">
        <v>2453</v>
      </c>
      <c r="Q42" s="19">
        <v>2506</v>
      </c>
      <c r="R42" s="19">
        <v>2600</v>
      </c>
      <c r="S42" s="19">
        <v>2675</v>
      </c>
      <c r="T42" s="19">
        <v>2768</v>
      </c>
      <c r="U42" s="19">
        <v>2562</v>
      </c>
      <c r="V42" s="19">
        <v>2519</v>
      </c>
      <c r="W42" s="19">
        <v>2719</v>
      </c>
      <c r="Y42" s="39">
        <f t="shared" si="38"/>
        <v>100</v>
      </c>
      <c r="Z42" s="39">
        <f t="shared" si="38"/>
        <v>103.47663551401868</v>
      </c>
      <c r="AA42" s="39">
        <f t="shared" si="38"/>
        <v>95.775700934579447</v>
      </c>
      <c r="AB42" s="39">
        <f t="shared" si="38"/>
        <v>94.168224299065415</v>
      </c>
      <c r="AC42" s="39">
        <f t="shared" si="38"/>
        <v>101.64485981308411</v>
      </c>
      <c r="AE42" s="39">
        <f t="shared" si="6"/>
        <v>100</v>
      </c>
      <c r="AF42" s="39">
        <f t="shared" si="39"/>
        <v>102.06737721600344</v>
      </c>
      <c r="AG42" s="39">
        <f t="shared" si="40"/>
        <v>98.185659281476333</v>
      </c>
      <c r="AH42" s="39">
        <f t="shared" si="41"/>
        <v>101.72674200631997</v>
      </c>
      <c r="AI42" s="39">
        <f t="shared" si="42"/>
        <v>104.91350222269831</v>
      </c>
      <c r="AJ42" s="40"/>
      <c r="AK42" s="5" t="str">
        <f t="shared" si="4"/>
        <v>Finland</v>
      </c>
      <c r="AL42" s="39">
        <f t="shared" si="5"/>
        <v>-0.60186915887850456</v>
      </c>
      <c r="AM42" s="39">
        <f t="shared" si="35"/>
        <v>0.94863692357131546</v>
      </c>
      <c r="AN42" s="39">
        <f t="shared" si="12"/>
        <v>1.55050608244982</v>
      </c>
      <c r="AO42" s="5" t="str">
        <f t="shared" si="13"/>
        <v>decoupling</v>
      </c>
      <c r="AR42" s="60">
        <v>26</v>
      </c>
      <c r="AS42" s="61">
        <v>-3.1271771754499169</v>
      </c>
      <c r="AT42" s="60" t="s">
        <v>31</v>
      </c>
    </row>
    <row r="43" spans="1:46" x14ac:dyDescent="0.2">
      <c r="A43" s="7" t="s">
        <v>43</v>
      </c>
      <c r="B43" s="9">
        <v>124661.9</v>
      </c>
      <c r="C43" s="9">
        <v>128090.3</v>
      </c>
      <c r="D43" s="9">
        <v>130787</v>
      </c>
      <c r="E43" s="9">
        <v>134324.5</v>
      </c>
      <c r="F43" s="9">
        <v>138721.5</v>
      </c>
      <c r="G43" s="9">
        <v>143467</v>
      </c>
      <c r="H43" s="9">
        <v>149099.1</v>
      </c>
      <c r="I43" s="9">
        <v>149245.70000000001</v>
      </c>
      <c r="J43" s="9">
        <v>150247.79999999999</v>
      </c>
      <c r="K43" s="9">
        <v>155400.1</v>
      </c>
      <c r="L43" s="9">
        <v>158083.20000000001</v>
      </c>
      <c r="M43" s="9">
        <v>160407</v>
      </c>
      <c r="O43" s="18" t="s">
        <v>43</v>
      </c>
      <c r="P43" s="35">
        <v>4169</v>
      </c>
      <c r="Q43" s="19">
        <v>4347</v>
      </c>
      <c r="R43" s="19">
        <v>4500</v>
      </c>
      <c r="S43" s="19">
        <v>4717</v>
      </c>
      <c r="T43" s="19">
        <v>4732</v>
      </c>
      <c r="U43" s="19">
        <v>4486</v>
      </c>
      <c r="V43" s="19">
        <v>4364</v>
      </c>
      <c r="W43" s="19">
        <v>4350</v>
      </c>
      <c r="Y43" s="39">
        <f t="shared" si="38"/>
        <v>100</v>
      </c>
      <c r="Z43" s="39">
        <f t="shared" si="38"/>
        <v>100.31799872800508</v>
      </c>
      <c r="AA43" s="39">
        <f t="shared" si="38"/>
        <v>95.102819588721644</v>
      </c>
      <c r="AB43" s="39">
        <f t="shared" si="38"/>
        <v>92.516429934280268</v>
      </c>
      <c r="AC43" s="39">
        <f t="shared" si="38"/>
        <v>92.219631121475516</v>
      </c>
      <c r="AE43" s="39">
        <f t="shared" si="6"/>
        <v>100</v>
      </c>
      <c r="AF43" s="39">
        <f t="shared" si="39"/>
        <v>100.0983238664754</v>
      </c>
      <c r="AG43" s="39">
        <f t="shared" si="40"/>
        <v>100.77042718567716</v>
      </c>
      <c r="AH43" s="39">
        <f t="shared" si="41"/>
        <v>104.22604831283356</v>
      </c>
      <c r="AI43" s="39">
        <f t="shared" si="42"/>
        <v>106.0255896916883</v>
      </c>
      <c r="AJ43" s="40"/>
      <c r="AK43" s="5" t="str">
        <f t="shared" si="4"/>
        <v>Sweden</v>
      </c>
      <c r="AL43" s="39">
        <f t="shared" si="5"/>
        <v>-2.3362306550773773</v>
      </c>
      <c r="AM43" s="39">
        <f t="shared" si="35"/>
        <v>1.6178903829734748</v>
      </c>
      <c r="AN43" s="39">
        <f t="shared" si="12"/>
        <v>3.954121038050852</v>
      </c>
      <c r="AO43" s="5" t="str">
        <f t="shared" si="13"/>
        <v>absolute decoupling</v>
      </c>
      <c r="AR43" s="60">
        <v>27</v>
      </c>
      <c r="AS43" s="61">
        <v>-7.3036996979391562</v>
      </c>
      <c r="AT43" s="60" t="s">
        <v>24</v>
      </c>
    </row>
    <row r="44" spans="1:46" x14ac:dyDescent="0.2">
      <c r="A44" s="7" t="s">
        <v>44</v>
      </c>
      <c r="B44" s="9">
        <v>997193.8</v>
      </c>
      <c r="C44" s="9">
        <v>1035775.6</v>
      </c>
      <c r="D44" s="9">
        <v>1075491.1000000001</v>
      </c>
      <c r="E44" s="9">
        <v>1110033</v>
      </c>
      <c r="F44" s="9">
        <v>1144453.1000000001</v>
      </c>
      <c r="G44" s="9">
        <v>1165967.2</v>
      </c>
      <c r="H44" s="9">
        <v>1197020.6000000001</v>
      </c>
      <c r="I44" s="9">
        <v>1190646.6000000001</v>
      </c>
      <c r="J44" s="9">
        <v>1156913.8999999999</v>
      </c>
      <c r="K44" s="9">
        <v>1170934.3999999999</v>
      </c>
      <c r="L44" s="9">
        <v>1167751.2</v>
      </c>
      <c r="M44" s="9">
        <v>1180614.8</v>
      </c>
      <c r="O44" s="18" t="s">
        <v>44</v>
      </c>
      <c r="P44" s="35">
        <v>36122</v>
      </c>
      <c r="Q44" s="19">
        <v>35121</v>
      </c>
      <c r="R44" s="19">
        <v>35479</v>
      </c>
      <c r="S44" s="19">
        <v>34780</v>
      </c>
      <c r="T44" s="19">
        <v>33424</v>
      </c>
      <c r="U44" s="19">
        <v>32507</v>
      </c>
      <c r="V44" s="19">
        <v>32450</v>
      </c>
      <c r="W44" s="19">
        <v>32500</v>
      </c>
      <c r="Y44" s="39">
        <f t="shared" si="38"/>
        <v>100</v>
      </c>
      <c r="Z44" s="39">
        <f t="shared" si="38"/>
        <v>96.101207590569288</v>
      </c>
      <c r="AA44" s="39">
        <f t="shared" si="38"/>
        <v>93.464634847613567</v>
      </c>
      <c r="AB44" s="39">
        <f t="shared" si="38"/>
        <v>93.30074755606671</v>
      </c>
      <c r="AC44" s="39">
        <f t="shared" si="38"/>
        <v>93.44450833812536</v>
      </c>
      <c r="AE44" s="39">
        <f t="shared" si="6"/>
        <v>100</v>
      </c>
      <c r="AF44" s="39">
        <f t="shared" si="39"/>
        <v>99.467511252521462</v>
      </c>
      <c r="AG44" s="39">
        <f t="shared" si="40"/>
        <v>96.649456158064424</v>
      </c>
      <c r="AH44" s="39">
        <f t="shared" si="41"/>
        <v>97.820739258789686</v>
      </c>
      <c r="AI44" s="39">
        <f t="shared" si="42"/>
        <v>97.554812339904586</v>
      </c>
      <c r="AJ44" s="40"/>
      <c r="AK44" s="5" t="str">
        <f t="shared" si="4"/>
        <v>United Kingdom</v>
      </c>
      <c r="AL44" s="39">
        <f t="shared" si="5"/>
        <v>-1.5911443358251858</v>
      </c>
      <c r="AM44" s="39">
        <f t="shared" si="35"/>
        <v>-0.65371473139226</v>
      </c>
      <c r="AN44" s="39">
        <f t="shared" si="12"/>
        <v>0.93742960443292578</v>
      </c>
      <c r="AO44" s="5" t="str">
        <f t="shared" si="13"/>
        <v>decoupling</v>
      </c>
      <c r="AR44" s="60"/>
      <c r="AS44" s="61"/>
      <c r="AT44" s="60"/>
    </row>
    <row r="47" spans="1:46" x14ac:dyDescent="0.2">
      <c r="A47" s="118" t="s">
        <v>109</v>
      </c>
      <c r="B47" s="119"/>
      <c r="C47" s="119"/>
      <c r="D47" s="119"/>
      <c r="E47" s="119"/>
      <c r="G47" s="196" t="s">
        <v>200</v>
      </c>
      <c r="H47" s="196"/>
      <c r="I47" s="196"/>
      <c r="J47" s="196"/>
      <c r="K47" s="196"/>
      <c r="L47" s="196"/>
      <c r="O47" s="319" t="s">
        <v>183</v>
      </c>
      <c r="P47" s="319"/>
      <c r="Q47" s="319"/>
      <c r="R47" s="319"/>
      <c r="S47" s="319"/>
      <c r="T47" s="319"/>
    </row>
    <row r="48" spans="1:46" x14ac:dyDescent="0.2">
      <c r="A48" s="119"/>
      <c r="B48" s="119"/>
      <c r="C48" s="119"/>
      <c r="D48" s="119"/>
      <c r="E48" s="119"/>
      <c r="G48" s="196"/>
      <c r="H48" s="196"/>
      <c r="I48" s="196"/>
      <c r="J48" s="196"/>
      <c r="K48" s="196"/>
      <c r="L48" s="196"/>
      <c r="O48" s="319"/>
      <c r="P48" s="319"/>
      <c r="Q48" s="319"/>
      <c r="R48" s="319"/>
      <c r="S48" s="319"/>
      <c r="T48" s="319"/>
    </row>
    <row r="49" spans="1:21" x14ac:dyDescent="0.2">
      <c r="A49" s="118" t="s">
        <v>1</v>
      </c>
      <c r="B49" s="120">
        <v>41451.677199074074</v>
      </c>
      <c r="C49" s="119"/>
      <c r="D49" s="119"/>
      <c r="E49" s="119"/>
      <c r="G49" s="196"/>
      <c r="H49" s="196"/>
      <c r="I49" s="196"/>
      <c r="J49" s="196"/>
      <c r="K49" s="196"/>
      <c r="L49" s="196"/>
      <c r="O49" s="319"/>
      <c r="P49" s="319"/>
      <c r="Q49" s="319"/>
      <c r="R49" s="319"/>
      <c r="S49" s="319"/>
      <c r="T49" s="319"/>
    </row>
    <row r="50" spans="1:21" ht="15" customHeight="1" x14ac:dyDescent="0.2">
      <c r="A50" s="118" t="s">
        <v>2</v>
      </c>
      <c r="B50" s="120">
        <v>41600.686136747681</v>
      </c>
      <c r="C50" s="119"/>
      <c r="D50" s="119"/>
      <c r="E50" s="119"/>
      <c r="G50" s="196"/>
      <c r="H50" s="196"/>
      <c r="I50" s="196"/>
      <c r="J50" s="196"/>
      <c r="K50" s="196"/>
      <c r="L50" s="196"/>
      <c r="O50" s="319"/>
      <c r="P50" s="319"/>
      <c r="Q50" s="319"/>
      <c r="R50" s="319"/>
      <c r="S50" s="319"/>
      <c r="T50" s="319"/>
    </row>
    <row r="51" spans="1:21" ht="15" x14ac:dyDescent="0.2">
      <c r="A51" s="118" t="s">
        <v>3</v>
      </c>
      <c r="B51" s="118" t="s">
        <v>4</v>
      </c>
      <c r="C51" s="119"/>
      <c r="D51" s="119"/>
      <c r="E51" s="119"/>
      <c r="G51" s="196"/>
      <c r="H51" s="196"/>
      <c r="I51" s="196"/>
      <c r="J51" s="196"/>
      <c r="K51" s="196"/>
      <c r="L51" s="196"/>
      <c r="O51" s="130"/>
      <c r="P51" s="131"/>
      <c r="Q51" s="132"/>
      <c r="R51" s="132"/>
      <c r="S51" s="130"/>
      <c r="T51" s="130"/>
    </row>
    <row r="52" spans="1:21" ht="15" x14ac:dyDescent="0.2">
      <c r="A52" s="119"/>
      <c r="B52" s="119"/>
      <c r="C52" s="119"/>
      <c r="D52" s="119"/>
      <c r="E52" s="119"/>
      <c r="G52" s="196"/>
      <c r="H52" s="196"/>
      <c r="I52" s="196"/>
      <c r="J52" s="196"/>
      <c r="K52" s="196"/>
      <c r="L52" s="196"/>
      <c r="O52" s="130" t="s">
        <v>185</v>
      </c>
      <c r="P52" s="131"/>
      <c r="Q52" s="132"/>
      <c r="R52" s="132"/>
      <c r="S52" s="130"/>
      <c r="T52" s="130"/>
    </row>
    <row r="53" spans="1:21" ht="15" x14ac:dyDescent="0.2">
      <c r="A53" s="118" t="s">
        <v>7</v>
      </c>
      <c r="B53" s="118" t="s">
        <v>59</v>
      </c>
      <c r="C53" s="119"/>
      <c r="D53" s="119"/>
      <c r="E53" s="119"/>
      <c r="G53" s="196"/>
      <c r="H53" s="196"/>
      <c r="I53" s="196"/>
      <c r="J53" s="196"/>
      <c r="K53" s="197" t="s">
        <v>202</v>
      </c>
      <c r="L53" s="198"/>
      <c r="O53" s="130"/>
      <c r="P53" s="131"/>
      <c r="Q53" s="132"/>
      <c r="R53" s="132"/>
      <c r="S53" s="130"/>
      <c r="T53" s="130"/>
    </row>
    <row r="54" spans="1:21" ht="15" x14ac:dyDescent="0.2">
      <c r="A54" s="118"/>
      <c r="B54" s="119"/>
      <c r="C54" s="119"/>
      <c r="D54" s="119"/>
      <c r="E54" s="119"/>
      <c r="G54" s="196"/>
      <c r="H54" s="196"/>
      <c r="I54" s="196"/>
      <c r="J54" s="196"/>
      <c r="K54" s="201">
        <f>(((J76/J66)^(1/(I76-I66)))-1)*100</f>
        <v>0.76028098020359813</v>
      </c>
      <c r="L54" s="202" t="s">
        <v>60</v>
      </c>
      <c r="O54" s="174"/>
      <c r="P54" s="131"/>
      <c r="Q54" s="132"/>
      <c r="R54" s="132"/>
      <c r="S54" s="130"/>
      <c r="T54" s="130"/>
    </row>
    <row r="55" spans="1:21" ht="15" x14ac:dyDescent="0.2">
      <c r="A55" s="118"/>
      <c r="B55" s="119"/>
      <c r="C55" s="119"/>
      <c r="D55" s="119"/>
      <c r="E55" s="119"/>
      <c r="G55" s="196"/>
      <c r="H55" s="196"/>
      <c r="I55" s="196"/>
      <c r="J55" s="196"/>
      <c r="K55" s="196"/>
      <c r="L55" s="196"/>
      <c r="O55" s="130"/>
      <c r="P55" s="131"/>
      <c r="Q55" s="132"/>
      <c r="R55" s="132"/>
      <c r="S55" s="130"/>
      <c r="T55" s="130"/>
    </row>
    <row r="56" spans="1:21" ht="15" x14ac:dyDescent="0.2">
      <c r="A56" s="121" t="s">
        <v>17</v>
      </c>
      <c r="B56" s="122" t="s">
        <v>88</v>
      </c>
      <c r="C56" s="119"/>
      <c r="D56" s="123" t="s">
        <v>92</v>
      </c>
      <c r="E56" s="124"/>
      <c r="G56" s="196" t="str">
        <f>A56</f>
        <v>European Union (27 countries)</v>
      </c>
      <c r="H56" s="196"/>
      <c r="I56" s="196"/>
      <c r="J56" s="196" t="s">
        <v>201</v>
      </c>
      <c r="K56" s="196"/>
      <c r="L56" s="196"/>
      <c r="O56" s="130" t="s">
        <v>90</v>
      </c>
      <c r="P56" s="131"/>
      <c r="Q56" s="132"/>
      <c r="R56" s="133" t="s">
        <v>93</v>
      </c>
      <c r="S56" s="134"/>
      <c r="T56" s="135"/>
    </row>
    <row r="57" spans="1:21" ht="15" x14ac:dyDescent="0.2">
      <c r="A57" s="125" t="s">
        <v>62</v>
      </c>
      <c r="B57" s="126">
        <v>9584032</v>
      </c>
      <c r="C57" s="119"/>
      <c r="D57" s="127">
        <f>(((B76/B66)^(1/(2020-A66)))-1)*100</f>
        <v>2.6895015245442577</v>
      </c>
      <c r="E57" s="128" t="s">
        <v>60</v>
      </c>
      <c r="G57" s="196"/>
      <c r="H57" s="196"/>
      <c r="I57" s="199">
        <v>2001</v>
      </c>
      <c r="J57" s="200">
        <v>5931095.7000000002</v>
      </c>
      <c r="K57" s="196"/>
      <c r="L57" s="196"/>
      <c r="O57" s="130" t="s">
        <v>91</v>
      </c>
      <c r="P57" s="131"/>
      <c r="Q57" s="132"/>
      <c r="R57" s="136"/>
      <c r="S57" s="137">
        <f>(((Q60/O60)^(1/(2020-O59)))-1)*100</f>
        <v>0.2627487059047251</v>
      </c>
      <c r="T57" s="138" t="s">
        <v>60</v>
      </c>
    </row>
    <row r="58" spans="1:21" x14ac:dyDescent="0.2">
      <c r="A58" s="125" t="s">
        <v>63</v>
      </c>
      <c r="B58" s="126">
        <v>9935237</v>
      </c>
      <c r="C58" s="119"/>
      <c r="D58" s="119"/>
      <c r="E58" s="119"/>
      <c r="G58" s="196"/>
      <c r="H58" s="196"/>
      <c r="I58" s="199">
        <f>I57+1</f>
        <v>2002</v>
      </c>
      <c r="J58" s="200">
        <v>5985538.2999999998</v>
      </c>
      <c r="K58" s="196"/>
      <c r="L58" s="196"/>
      <c r="O58" s="174"/>
      <c r="P58" s="174"/>
      <c r="Q58" s="174"/>
      <c r="R58" s="174"/>
      <c r="S58" s="174"/>
      <c r="T58" s="174"/>
    </row>
    <row r="59" spans="1:21" x14ac:dyDescent="0.2">
      <c r="A59" s="125" t="s">
        <v>64</v>
      </c>
      <c r="B59" s="126">
        <v>10104161</v>
      </c>
      <c r="C59" s="119"/>
      <c r="D59" s="119"/>
      <c r="E59" s="119"/>
      <c r="G59" s="196"/>
      <c r="H59" s="196"/>
      <c r="I59" s="199">
        <f t="shared" ref="I59:I86" si="43">I58+1</f>
        <v>2003</v>
      </c>
      <c r="J59" s="200">
        <v>6067502.5999999996</v>
      </c>
      <c r="K59" s="196"/>
      <c r="L59" s="196"/>
      <c r="O59" s="174">
        <v>2010</v>
      </c>
      <c r="P59" s="174">
        <v>2015</v>
      </c>
      <c r="Q59" s="174">
        <v>2020</v>
      </c>
      <c r="R59" s="175">
        <v>2025</v>
      </c>
      <c r="S59" s="174">
        <v>2030</v>
      </c>
      <c r="T59" s="174"/>
    </row>
    <row r="60" spans="1:21" x14ac:dyDescent="0.2">
      <c r="A60" s="125" t="s">
        <v>65</v>
      </c>
      <c r="B60" s="126">
        <v>10605900</v>
      </c>
      <c r="C60" s="119"/>
      <c r="D60" s="119"/>
      <c r="E60" s="119"/>
      <c r="G60" s="196"/>
      <c r="H60" s="196"/>
      <c r="I60" s="199">
        <f t="shared" si="43"/>
        <v>2004</v>
      </c>
      <c r="J60" s="200">
        <v>6205294.7999999998</v>
      </c>
      <c r="K60" s="196"/>
      <c r="L60" s="196"/>
      <c r="O60" s="176">
        <v>501044066</v>
      </c>
      <c r="P60" s="176">
        <v>508234690</v>
      </c>
      <c r="Q60" s="176">
        <v>514365687</v>
      </c>
      <c r="R60" s="176">
        <v>519109103</v>
      </c>
      <c r="S60" s="176">
        <v>522342413</v>
      </c>
      <c r="T60" s="174"/>
    </row>
    <row r="61" spans="1:21" ht="15" x14ac:dyDescent="0.2">
      <c r="A61" s="125" t="s">
        <v>9</v>
      </c>
      <c r="B61" s="126">
        <v>11072291</v>
      </c>
      <c r="C61" s="119"/>
      <c r="D61" s="119"/>
      <c r="E61" s="119"/>
      <c r="G61" s="196"/>
      <c r="H61" s="196"/>
      <c r="I61" s="199">
        <f t="shared" si="43"/>
        <v>2005</v>
      </c>
      <c r="J61" s="200">
        <v>6322352.2000000002</v>
      </c>
      <c r="K61" s="196"/>
      <c r="L61" s="196"/>
      <c r="O61" s="174"/>
      <c r="P61" s="177"/>
      <c r="Q61" s="175"/>
      <c r="R61" s="175"/>
      <c r="S61" s="174"/>
      <c r="T61" s="174"/>
    </row>
    <row r="62" spans="1:21" ht="15" x14ac:dyDescent="0.2">
      <c r="A62" s="125" t="s">
        <v>10</v>
      </c>
      <c r="B62" s="126">
        <v>11701131</v>
      </c>
      <c r="C62" s="119"/>
      <c r="D62" s="119"/>
      <c r="E62" s="119"/>
      <c r="G62" s="196"/>
      <c r="H62" s="196"/>
      <c r="I62" s="199">
        <f t="shared" si="43"/>
        <v>2006</v>
      </c>
      <c r="J62" s="200">
        <v>6428082</v>
      </c>
      <c r="K62" s="196"/>
      <c r="L62" s="196"/>
      <c r="P62" s="42"/>
      <c r="Q62"/>
      <c r="R62"/>
    </row>
    <row r="63" spans="1:21" ht="15" x14ac:dyDescent="0.2">
      <c r="A63" s="125" t="s">
        <v>11</v>
      </c>
      <c r="B63" s="126">
        <v>12406299</v>
      </c>
      <c r="C63" s="119"/>
      <c r="D63" s="119"/>
      <c r="E63" s="119"/>
      <c r="G63" s="196"/>
      <c r="H63" s="196"/>
      <c r="I63" s="199">
        <f t="shared" si="43"/>
        <v>2007</v>
      </c>
      <c r="J63" s="200">
        <v>6531198</v>
      </c>
      <c r="K63" s="196"/>
      <c r="L63" s="196"/>
      <c r="P63" s="42"/>
      <c r="Q63"/>
      <c r="R63"/>
    </row>
    <row r="64" spans="1:21" ht="15" x14ac:dyDescent="0.25">
      <c r="A64" s="125" t="s">
        <v>12</v>
      </c>
      <c r="B64" s="126">
        <v>12473094</v>
      </c>
      <c r="C64" s="119"/>
      <c r="D64" s="119"/>
      <c r="E64" s="119"/>
      <c r="G64" s="196"/>
      <c r="H64" s="196"/>
      <c r="I64" s="199">
        <f t="shared" si="43"/>
        <v>2008</v>
      </c>
      <c r="J64" s="200">
        <v>6517841.2999999998</v>
      </c>
      <c r="K64" s="196"/>
      <c r="L64" s="196"/>
      <c r="O64" s="179" t="s">
        <v>195</v>
      </c>
      <c r="P64" s="180"/>
      <c r="Q64" s="181"/>
      <c r="R64" s="181"/>
      <c r="S64" s="179"/>
      <c r="T64" s="179"/>
      <c r="U64" s="179"/>
    </row>
    <row r="65" spans="1:21" ht="15" x14ac:dyDescent="0.2">
      <c r="A65" s="125" t="s">
        <v>13</v>
      </c>
      <c r="B65" s="126">
        <v>11752345</v>
      </c>
      <c r="C65" s="119"/>
      <c r="D65" s="119"/>
      <c r="E65" s="119"/>
      <c r="G65" s="196"/>
      <c r="H65" s="196"/>
      <c r="I65" s="199">
        <f t="shared" si="43"/>
        <v>2009</v>
      </c>
      <c r="J65" s="200">
        <v>6373025.7000000002</v>
      </c>
      <c r="K65" s="196"/>
      <c r="L65" s="196"/>
      <c r="O65" s="179"/>
      <c r="P65" s="180"/>
      <c r="Q65" s="181"/>
      <c r="R65" s="181"/>
      <c r="S65" s="179"/>
      <c r="T65" s="179"/>
      <c r="U65" s="179"/>
    </row>
    <row r="66" spans="1:21" ht="15" x14ac:dyDescent="0.2">
      <c r="A66" s="125" t="s">
        <v>14</v>
      </c>
      <c r="B66" s="126">
        <v>12279589</v>
      </c>
      <c r="C66" s="119"/>
      <c r="D66" s="119"/>
      <c r="E66" s="119"/>
      <c r="G66" s="196"/>
      <c r="H66" s="196"/>
      <c r="I66" s="199">
        <f t="shared" si="43"/>
        <v>2010</v>
      </c>
      <c r="J66" s="200">
        <v>6484350.7000000002</v>
      </c>
      <c r="K66" s="196"/>
      <c r="L66" s="196"/>
      <c r="O66" s="179" t="s">
        <v>193</v>
      </c>
      <c r="P66" s="180"/>
      <c r="Q66" s="179"/>
      <c r="R66" s="182">
        <f>D57</f>
        <v>2.6895015245442577</v>
      </c>
      <c r="S66" s="183" t="s">
        <v>60</v>
      </c>
      <c r="T66" s="179"/>
      <c r="U66" s="179"/>
    </row>
    <row r="67" spans="1:21" ht="15" x14ac:dyDescent="0.2">
      <c r="A67" s="195">
        <v>2011</v>
      </c>
      <c r="B67" s="187">
        <v>13019890.266666699</v>
      </c>
      <c r="C67" s="119" t="s">
        <v>66</v>
      </c>
      <c r="D67" s="119"/>
      <c r="E67" s="119"/>
      <c r="G67" s="196"/>
      <c r="H67" s="196"/>
      <c r="I67" s="199">
        <f t="shared" si="43"/>
        <v>2011</v>
      </c>
      <c r="J67" s="200">
        <v>6482966.5</v>
      </c>
      <c r="K67" s="196"/>
      <c r="L67" s="196"/>
      <c r="O67" s="179" t="s">
        <v>73</v>
      </c>
      <c r="P67" s="180"/>
      <c r="Q67" s="179"/>
      <c r="R67" s="182">
        <f>AN15</f>
        <v>0.59183209413157112</v>
      </c>
      <c r="S67" s="181"/>
      <c r="T67" s="179" t="str">
        <f>IF(R67&gt;2,"absolute decoupling",
IF(AND(R67&gt;0.2,R67&lt;2),"decoupling",
IF(R67&lt;-0.2,"reverse decoupling",
IF(AND(R67&lt;0.2,R67&gt;-0.2),"coupling","fout"))))</f>
        <v>decoupling</v>
      </c>
      <c r="U67" s="179"/>
    </row>
    <row r="68" spans="1:21" ht="15" x14ac:dyDescent="0.2">
      <c r="A68" s="129">
        <v>2012</v>
      </c>
      <c r="B68" s="187">
        <v>13352341.6060606</v>
      </c>
      <c r="C68" s="119"/>
      <c r="D68" s="119"/>
      <c r="E68" s="119"/>
      <c r="G68" s="196"/>
      <c r="H68" s="196"/>
      <c r="I68" s="199">
        <f t="shared" si="43"/>
        <v>2012</v>
      </c>
      <c r="J68" s="200">
        <v>6431738.7000000002</v>
      </c>
      <c r="K68" s="196"/>
      <c r="L68" s="196"/>
      <c r="O68" s="179" t="s">
        <v>194</v>
      </c>
      <c r="P68" s="180"/>
      <c r="Q68" s="179"/>
      <c r="R68" s="182">
        <f>IF(T67="absolute decoupling",0,
IF(T67="decoupling",D57*(((-1/2)*R67)+1),
IF(T67="coupling",D57,
IF(AND(T67="reverse decoupling",R67&gt;-2,D57&gt;0),D57*(((-1/2)*R67)+1),
IF(AND(T67="reverse decoupling",R67&lt;=-2,D57&gt;0),D57*2,
IF(AND(T67="reverse decoupling",R67&gt;-2,D57&lt;0),D57/(((-1/2)*R67)+1),
IF(AND(T67="reverse decoupling",R67&lt;=-2,D57&lt;0),D57/2)))))))</f>
        <v>1.8936348648237171</v>
      </c>
      <c r="S68" s="183" t="s">
        <v>60</v>
      </c>
      <c r="T68" s="179"/>
      <c r="U68" s="179"/>
    </row>
    <row r="69" spans="1:21" ht="15" x14ac:dyDescent="0.2">
      <c r="A69" s="129">
        <v>2013</v>
      </c>
      <c r="B69" s="187">
        <v>13684792.945454501</v>
      </c>
      <c r="C69" s="119"/>
      <c r="D69" s="119"/>
      <c r="E69" s="119"/>
      <c r="G69" s="203"/>
      <c r="H69" s="196"/>
      <c r="I69" s="199">
        <f t="shared" si="43"/>
        <v>2013</v>
      </c>
      <c r="J69" s="204">
        <v>6641372.3893939396</v>
      </c>
      <c r="K69" s="196" t="s">
        <v>66</v>
      </c>
      <c r="L69" s="196"/>
      <c r="P69" s="42"/>
      <c r="Q69"/>
      <c r="R69"/>
    </row>
    <row r="70" spans="1:21" ht="15" x14ac:dyDescent="0.2">
      <c r="A70" s="129">
        <v>2014</v>
      </c>
      <c r="B70" s="187">
        <v>14017244.2848485</v>
      </c>
      <c r="C70" s="119"/>
      <c r="D70" s="119"/>
      <c r="E70" s="119"/>
      <c r="G70" s="203"/>
      <c r="H70" s="196"/>
      <c r="I70" s="199">
        <f t="shared" si="43"/>
        <v>2014</v>
      </c>
      <c r="J70" s="204">
        <v>6691827.2890442898</v>
      </c>
      <c r="K70" s="196"/>
      <c r="L70" s="196"/>
      <c r="P70" s="42"/>
      <c r="Q70"/>
      <c r="R70"/>
    </row>
    <row r="71" spans="1:21" ht="15" x14ac:dyDescent="0.2">
      <c r="A71" s="129">
        <v>2015</v>
      </c>
      <c r="B71" s="187">
        <v>14349695.624242401</v>
      </c>
      <c r="C71" s="119"/>
      <c r="D71" s="119"/>
      <c r="E71" s="119"/>
      <c r="G71" s="203"/>
      <c r="H71" s="196"/>
      <c r="I71" s="199">
        <f t="shared" si="43"/>
        <v>2015</v>
      </c>
      <c r="J71" s="204">
        <v>6742282.1886946401</v>
      </c>
      <c r="K71" s="196"/>
      <c r="L71" s="196"/>
      <c r="O71" s="17" t="s">
        <v>310</v>
      </c>
      <c r="P71" s="360"/>
      <c r="Q71" s="149"/>
      <c r="R71" s="149"/>
      <c r="S71" s="17"/>
      <c r="T71" s="17"/>
      <c r="U71" s="17"/>
    </row>
    <row r="72" spans="1:21" ht="15" x14ac:dyDescent="0.2">
      <c r="A72" s="129">
        <v>2016</v>
      </c>
      <c r="B72" s="187">
        <v>14682146.9636364</v>
      </c>
      <c r="C72" s="119"/>
      <c r="D72" s="119"/>
      <c r="E72" s="119"/>
      <c r="G72" s="203"/>
      <c r="H72" s="196"/>
      <c r="I72" s="199">
        <f t="shared" si="43"/>
        <v>2016</v>
      </c>
      <c r="J72" s="204">
        <v>6792737.0883449903</v>
      </c>
      <c r="K72" s="196"/>
      <c r="L72" s="196"/>
      <c r="O72" s="17"/>
      <c r="P72" s="360"/>
      <c r="Q72" s="149"/>
      <c r="R72" s="149"/>
      <c r="S72" s="17"/>
      <c r="T72" s="17"/>
      <c r="U72" s="17"/>
    </row>
    <row r="73" spans="1:21" ht="15" x14ac:dyDescent="0.2">
      <c r="A73" s="129">
        <v>2017</v>
      </c>
      <c r="B73" s="187">
        <v>15014598.303030301</v>
      </c>
      <c r="C73" s="119"/>
      <c r="D73" s="119"/>
      <c r="E73" s="119"/>
      <c r="G73" s="203"/>
      <c r="H73" s="196"/>
      <c r="I73" s="199">
        <f t="shared" si="43"/>
        <v>2017</v>
      </c>
      <c r="J73" s="204">
        <v>6843191.9879953396</v>
      </c>
      <c r="K73" s="196"/>
      <c r="L73" s="196"/>
      <c r="O73" s="17" t="str">
        <f>O66</f>
        <v>GDP growth rate</v>
      </c>
      <c r="P73" s="360"/>
      <c r="Q73" s="149"/>
      <c r="R73" s="361">
        <f>R66</f>
        <v>2.6895015245442577</v>
      </c>
      <c r="S73" s="17"/>
      <c r="T73" s="17"/>
      <c r="U73" s="17"/>
    </row>
    <row r="74" spans="1:21" ht="15" x14ac:dyDescent="0.2">
      <c r="A74" s="129">
        <v>2018</v>
      </c>
      <c r="B74" s="187">
        <v>15347049.6424242</v>
      </c>
      <c r="C74" s="119"/>
      <c r="D74" s="119"/>
      <c r="E74" s="119"/>
      <c r="G74" s="203"/>
      <c r="H74" s="196"/>
      <c r="I74" s="199">
        <f t="shared" si="43"/>
        <v>2018</v>
      </c>
      <c r="J74" s="204">
        <v>6893646.8876456898</v>
      </c>
      <c r="K74" s="196"/>
      <c r="L74" s="196"/>
      <c r="O74" s="17" t="str">
        <f>O67</f>
        <v>decoupling level</v>
      </c>
      <c r="P74" s="360"/>
      <c r="Q74" s="149"/>
      <c r="R74" s="149">
        <v>2</v>
      </c>
      <c r="S74" s="17"/>
      <c r="T74" s="17" t="str">
        <f>IF(R74&gt;=2,"absolute decoupling",
IF(AND(R74&gt;0.2,R74&lt;2),"decoupling",
IF(R74&lt;-0.2,"reverse decoupling",
IF(AND(R74&lt;0.2,R74&gt;-0.2),"coupling","fout"))))</f>
        <v>absolute decoupling</v>
      </c>
      <c r="U74" s="17"/>
    </row>
    <row r="75" spans="1:21" ht="15" x14ac:dyDescent="0.2">
      <c r="A75" s="129">
        <v>2019</v>
      </c>
      <c r="B75" s="187">
        <v>15679500.981818199</v>
      </c>
      <c r="C75" s="119"/>
      <c r="D75" s="119"/>
      <c r="E75" s="119"/>
      <c r="G75" s="203"/>
      <c r="H75" s="196"/>
      <c r="I75" s="199">
        <f t="shared" si="43"/>
        <v>2019</v>
      </c>
      <c r="J75" s="204">
        <v>6944101.78729604</v>
      </c>
      <c r="K75" s="196"/>
      <c r="L75" s="196"/>
      <c r="O75" s="17" t="str">
        <f>O68</f>
        <v>industrial waste yearly growth rate</v>
      </c>
      <c r="P75" s="360"/>
      <c r="Q75" s="149"/>
      <c r="R75" s="361">
        <f>IF(T74="absolute decoupling",0,
IF(T74="decoupling",D64*(((-1/2)*R74)+1),
IF(T74="coupling",D64,
IF(AND(T74="reverse decoupling",R74&gt;-2,D64&gt;0),D64*(((-1/2)*R74)+1),
IF(AND(T74="reverse decoupling",R74&lt;=-2,D64&gt;0),D64*2,
IF(AND(T74="reverse decoupling",R74&gt;-2,D64&lt;0),D64/(((-1/2)*R74)+1),
IF(AND(T74="reverse decoupling",R74&lt;=-2,D64&lt;0),D64/2)))))))</f>
        <v>0</v>
      </c>
      <c r="S75" s="17"/>
      <c r="T75" s="17"/>
      <c r="U75" s="17"/>
    </row>
    <row r="76" spans="1:21" ht="15" x14ac:dyDescent="0.2">
      <c r="A76" s="129">
        <v>2020</v>
      </c>
      <c r="B76" s="187">
        <v>16011952.3212121</v>
      </c>
      <c r="C76" s="119"/>
      <c r="D76" s="119"/>
      <c r="E76" s="119"/>
      <c r="G76" s="203"/>
      <c r="H76" s="196"/>
      <c r="I76" s="199">
        <f t="shared" si="43"/>
        <v>2020</v>
      </c>
      <c r="J76" s="204">
        <v>6994556.6869463902</v>
      </c>
      <c r="K76" s="196"/>
      <c r="L76" s="196"/>
      <c r="P76" s="42"/>
      <c r="Q76"/>
      <c r="R76"/>
    </row>
    <row r="77" spans="1:21" ht="15" x14ac:dyDescent="0.2">
      <c r="A77" s="129">
        <v>2021</v>
      </c>
      <c r="B77" s="187">
        <v>16344403.660606099</v>
      </c>
      <c r="C77" s="119"/>
      <c r="D77" s="119"/>
      <c r="E77" s="119"/>
      <c r="G77" s="203"/>
      <c r="H77" s="196"/>
      <c r="I77" s="199">
        <f t="shared" si="43"/>
        <v>2021</v>
      </c>
      <c r="J77" s="204">
        <v>7045011.5865967302</v>
      </c>
      <c r="K77" s="196"/>
      <c r="L77" s="196"/>
      <c r="P77" s="42"/>
      <c r="Q77"/>
      <c r="R77"/>
    </row>
    <row r="78" spans="1:21" ht="15" x14ac:dyDescent="0.2">
      <c r="A78" s="129">
        <v>2022</v>
      </c>
      <c r="B78" s="187">
        <v>16676855</v>
      </c>
      <c r="C78" s="119"/>
      <c r="D78" s="119"/>
      <c r="E78" s="119"/>
      <c r="G78" s="203"/>
      <c r="H78" s="196"/>
      <c r="I78" s="199">
        <f t="shared" si="43"/>
        <v>2022</v>
      </c>
      <c r="J78" s="204">
        <v>7095466.4862470897</v>
      </c>
      <c r="K78" s="196"/>
      <c r="L78" s="196"/>
      <c r="P78" s="42"/>
      <c r="Q78"/>
      <c r="R78"/>
    </row>
    <row r="79" spans="1:21" ht="15" x14ac:dyDescent="0.2">
      <c r="A79" s="129">
        <v>2023</v>
      </c>
      <c r="B79" s="187">
        <v>17009306.339393899</v>
      </c>
      <c r="C79" s="119"/>
      <c r="D79" s="119"/>
      <c r="E79" s="119"/>
      <c r="G79" s="203"/>
      <c r="H79" s="196"/>
      <c r="I79" s="199">
        <f t="shared" si="43"/>
        <v>2023</v>
      </c>
      <c r="J79" s="204">
        <v>7145921.3858974297</v>
      </c>
      <c r="K79" s="196"/>
      <c r="L79" s="196"/>
      <c r="P79" s="42"/>
      <c r="Q79"/>
      <c r="R79"/>
    </row>
    <row r="80" spans="1:21" ht="15" x14ac:dyDescent="0.2">
      <c r="A80" s="129">
        <v>2024</v>
      </c>
      <c r="B80" s="187">
        <v>17341757.678787898</v>
      </c>
      <c r="C80" s="119"/>
      <c r="D80" s="119"/>
      <c r="E80" s="119"/>
      <c r="G80" s="203"/>
      <c r="H80" s="196"/>
      <c r="I80" s="199">
        <f t="shared" si="43"/>
        <v>2024</v>
      </c>
      <c r="J80" s="204">
        <v>7196376.2855477799</v>
      </c>
      <c r="K80" s="196"/>
      <c r="L80" s="196"/>
      <c r="P80" s="42"/>
      <c r="Q80"/>
      <c r="R80"/>
    </row>
    <row r="81" spans="1:25" ht="15" x14ac:dyDescent="0.2">
      <c r="A81" s="129">
        <v>2025</v>
      </c>
      <c r="B81" s="187">
        <v>17674209.018181801</v>
      </c>
      <c r="C81" s="119"/>
      <c r="D81" s="119"/>
      <c r="E81" s="119"/>
      <c r="G81" s="203"/>
      <c r="H81" s="196"/>
      <c r="I81" s="199">
        <f t="shared" si="43"/>
        <v>2025</v>
      </c>
      <c r="J81" s="204">
        <v>7246831.1851981301</v>
      </c>
      <c r="K81" s="196"/>
      <c r="L81" s="196"/>
      <c r="P81" s="42"/>
      <c r="Q81"/>
      <c r="R81"/>
    </row>
    <row r="82" spans="1:25" ht="15" x14ac:dyDescent="0.2">
      <c r="A82" s="129">
        <v>2026</v>
      </c>
      <c r="B82" s="187">
        <v>18006660.3575758</v>
      </c>
      <c r="C82" s="119"/>
      <c r="D82" s="119"/>
      <c r="E82" s="119"/>
      <c r="G82" s="203"/>
      <c r="H82" s="196"/>
      <c r="I82" s="199">
        <f t="shared" si="43"/>
        <v>2026</v>
      </c>
      <c r="J82" s="204">
        <v>7297286.0848484803</v>
      </c>
      <c r="K82" s="196"/>
      <c r="L82" s="196"/>
      <c r="P82" s="42"/>
      <c r="Q82"/>
      <c r="R82"/>
    </row>
    <row r="83" spans="1:25" ht="15" x14ac:dyDescent="0.2">
      <c r="A83" s="129">
        <v>2027</v>
      </c>
      <c r="B83" s="187">
        <v>18339111.696969699</v>
      </c>
      <c r="C83" s="119"/>
      <c r="D83" s="119"/>
      <c r="E83" s="119"/>
      <c r="G83" s="203"/>
      <c r="H83" s="196"/>
      <c r="I83" s="199">
        <f t="shared" si="43"/>
        <v>2027</v>
      </c>
      <c r="J83" s="204">
        <v>7347740.9844988296</v>
      </c>
      <c r="K83" s="196"/>
      <c r="L83" s="196"/>
      <c r="P83" s="42"/>
      <c r="Q83"/>
      <c r="R83"/>
    </row>
    <row r="84" spans="1:25" ht="15" x14ac:dyDescent="0.2">
      <c r="A84" s="129">
        <v>2028</v>
      </c>
      <c r="B84" s="187">
        <v>18671563.036363602</v>
      </c>
      <c r="C84" s="119"/>
      <c r="D84" s="119"/>
      <c r="E84" s="119"/>
      <c r="G84" s="203"/>
      <c r="H84" s="196"/>
      <c r="I84" s="199">
        <f t="shared" si="43"/>
        <v>2028</v>
      </c>
      <c r="J84" s="204">
        <v>7398195.8841491798</v>
      </c>
      <c r="K84" s="196"/>
      <c r="L84" s="196"/>
      <c r="P84" s="42"/>
      <c r="Q84"/>
      <c r="R84"/>
    </row>
    <row r="85" spans="1:25" ht="15" x14ac:dyDescent="0.2">
      <c r="A85" s="129">
        <v>2029</v>
      </c>
      <c r="B85" s="187">
        <v>19004014.375757601</v>
      </c>
      <c r="C85" s="119"/>
      <c r="D85" s="119"/>
      <c r="E85" s="119"/>
      <c r="G85" s="203"/>
      <c r="H85" s="196"/>
      <c r="I85" s="199">
        <f t="shared" si="43"/>
        <v>2029</v>
      </c>
      <c r="J85" s="204">
        <v>7448650.78379953</v>
      </c>
      <c r="K85" s="196"/>
      <c r="L85" s="196"/>
      <c r="P85" s="42"/>
      <c r="Q85"/>
      <c r="R85"/>
    </row>
    <row r="86" spans="1:25" ht="15" x14ac:dyDescent="0.2">
      <c r="A86" s="129">
        <v>2030</v>
      </c>
      <c r="B86" s="187">
        <v>19336465.7151515</v>
      </c>
      <c r="C86" s="119"/>
      <c r="D86" s="119"/>
      <c r="E86" s="119"/>
      <c r="G86" s="203"/>
      <c r="H86" s="196"/>
      <c r="I86" s="199">
        <f t="shared" si="43"/>
        <v>2030</v>
      </c>
      <c r="J86" s="204">
        <v>7499105.6834498802</v>
      </c>
      <c r="K86" s="196"/>
      <c r="L86" s="196"/>
      <c r="P86" s="42"/>
      <c r="Q86"/>
      <c r="R86"/>
    </row>
    <row r="87" spans="1:25" ht="15" x14ac:dyDescent="0.2">
      <c r="A87" s="119"/>
      <c r="B87" s="119"/>
      <c r="C87" s="119"/>
      <c r="D87" s="119"/>
      <c r="E87" s="119"/>
      <c r="G87" s="196"/>
      <c r="H87" s="196"/>
      <c r="I87" s="196"/>
      <c r="J87" s="196"/>
      <c r="K87" s="196"/>
      <c r="L87" s="196"/>
      <c r="P87" s="42"/>
      <c r="Q87"/>
      <c r="R87"/>
    </row>
    <row r="88" spans="1:25" ht="15" x14ac:dyDescent="0.2">
      <c r="H88" s="42"/>
      <c r="I88"/>
      <c r="J88"/>
    </row>
    <row r="89" spans="1:25" ht="15" x14ac:dyDescent="0.25">
      <c r="A89" s="146" t="s">
        <v>89</v>
      </c>
      <c r="B89" s="12"/>
      <c r="C89" s="12"/>
      <c r="H89" s="42"/>
      <c r="I89"/>
      <c r="J89"/>
    </row>
    <row r="90" spans="1:25" ht="15" x14ac:dyDescent="0.2">
      <c r="H90" s="42"/>
      <c r="I90"/>
      <c r="J90"/>
    </row>
    <row r="91" spans="1:25" ht="15" x14ac:dyDescent="0.2">
      <c r="A91" s="12" t="s">
        <v>192</v>
      </c>
      <c r="B91" s="12"/>
      <c r="C91" s="12"/>
      <c r="H91" s="42"/>
      <c r="I91"/>
      <c r="J91"/>
    </row>
    <row r="92" spans="1:25" ht="15" x14ac:dyDescent="0.2">
      <c r="H92" s="42"/>
      <c r="I92"/>
      <c r="J92"/>
    </row>
    <row r="93" spans="1:25" ht="15" x14ac:dyDescent="0.2">
      <c r="A93" s="21" t="s">
        <v>71</v>
      </c>
      <c r="B93" s="22"/>
      <c r="C93" s="23"/>
      <c r="D93" s="22"/>
      <c r="E93" s="24"/>
      <c r="F93" s="26"/>
      <c r="G93" s="27"/>
      <c r="H93" s="42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x14ac:dyDescent="0.2">
      <c r="A94" s="25"/>
      <c r="B94" s="31" t="s">
        <v>152</v>
      </c>
      <c r="C94" s="30">
        <f>V15/O60*1000000</f>
        <v>505.97745229059353</v>
      </c>
      <c r="D94" s="26" t="s">
        <v>72</v>
      </c>
      <c r="E94" s="28"/>
      <c r="F94" s="27"/>
      <c r="G94" s="27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x14ac:dyDescent="0.2">
      <c r="A95" s="25"/>
      <c r="B95" s="31" t="s">
        <v>73</v>
      </c>
      <c r="C95" s="43" t="str">
        <f>AO15</f>
        <v>decoupling</v>
      </c>
      <c r="D95" s="41" t="str">
        <f>CONCATENATE("D=",ROUND(AN15,2))</f>
        <v>D=0,59</v>
      </c>
      <c r="E95" s="28"/>
      <c r="F95" s="27"/>
      <c r="G95" s="27"/>
      <c r="H95" s="27"/>
      <c r="I95" s="2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x14ac:dyDescent="0.2">
      <c r="A96" s="25"/>
      <c r="B96" s="31" t="s">
        <v>203</v>
      </c>
      <c r="C96" s="43">
        <f>K54</f>
        <v>0.76028098020359813</v>
      </c>
      <c r="D96" s="26" t="s">
        <v>60</v>
      </c>
      <c r="E96" s="28"/>
      <c r="F96" s="27"/>
      <c r="G96" s="27"/>
      <c r="H96" s="27"/>
      <c r="I96" s="27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30" x14ac:dyDescent="0.2">
      <c r="A97" s="25"/>
      <c r="B97" s="31" t="s">
        <v>74</v>
      </c>
      <c r="C97" s="59">
        <f>IF(C95="absolute decoupling",0,
IF(C95="decoupling",K54*(((-1/2)*AN15)+1),
IF(C95="coupling",K54,
IF(AND(C95="reverse decoupling",AN15&gt;-2,K54&gt;0),K54*(((-1/2)*AN15)+1),
IF(AND(C95="reverse decoupling",AN15&lt;=-2,K54&gt;0),K54*2,
IF(AND(C95="reverse decoupling",AN15&gt;-2,K54&lt;0),K54/(((-1/2)*AN15)+1),
IF(AND(C95="reverse decoupling",AN15&lt;=-2,K54&lt;0),K54/2)))))))</f>
        <v>0.53530163788244856</v>
      </c>
      <c r="D97" s="26" t="s">
        <v>60</v>
      </c>
      <c r="E97" s="28"/>
      <c r="F97" s="27"/>
      <c r="G97" s="27"/>
      <c r="H97" s="27"/>
      <c r="I97" s="2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30" x14ac:dyDescent="0.2">
      <c r="A98" s="25"/>
      <c r="B98" s="41"/>
      <c r="C98" s="29"/>
      <c r="D98" s="27"/>
      <c r="E98" s="28"/>
      <c r="F98" s="27"/>
      <c r="G98" s="27"/>
      <c r="H98" s="27"/>
      <c r="I98" s="27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30" x14ac:dyDescent="0.2">
      <c r="A99" s="25"/>
      <c r="B99" s="31" t="s">
        <v>184</v>
      </c>
      <c r="C99" s="30">
        <f>HLOOKUP(2020,G99:W100,2)</f>
        <v>533.7243497560886</v>
      </c>
      <c r="D99" s="26" t="s">
        <v>75</v>
      </c>
      <c r="E99" s="28"/>
      <c r="F99" s="27"/>
      <c r="G99" s="46" t="str">
        <f>A66</f>
        <v>2010</v>
      </c>
      <c r="H99" s="20">
        <f>G99+1</f>
        <v>2011</v>
      </c>
      <c r="I99" s="20">
        <f t="shared" ref="I99:W99" si="44">H99+1</f>
        <v>2012</v>
      </c>
      <c r="J99" s="20">
        <f t="shared" si="44"/>
        <v>2013</v>
      </c>
      <c r="K99" s="20">
        <f t="shared" si="44"/>
        <v>2014</v>
      </c>
      <c r="L99" s="20">
        <f t="shared" si="44"/>
        <v>2015</v>
      </c>
      <c r="M99" s="20">
        <f t="shared" si="44"/>
        <v>2016</v>
      </c>
      <c r="N99" s="20">
        <f t="shared" si="44"/>
        <v>2017</v>
      </c>
      <c r="O99" s="20">
        <f t="shared" si="44"/>
        <v>2018</v>
      </c>
      <c r="P99" s="20">
        <f t="shared" si="44"/>
        <v>2019</v>
      </c>
      <c r="Q99" s="44">
        <f t="shared" si="44"/>
        <v>2020</v>
      </c>
      <c r="R99" s="20">
        <f t="shared" si="44"/>
        <v>2021</v>
      </c>
      <c r="S99" s="20">
        <f t="shared" si="44"/>
        <v>2022</v>
      </c>
      <c r="T99" s="20">
        <f t="shared" si="44"/>
        <v>2023</v>
      </c>
      <c r="U99" s="20">
        <f>T99+1</f>
        <v>2024</v>
      </c>
      <c r="V99" s="44">
        <f t="shared" si="44"/>
        <v>2025</v>
      </c>
      <c r="W99" s="20">
        <f t="shared" si="44"/>
        <v>2026</v>
      </c>
      <c r="X99" s="20">
        <f t="shared" ref="X99" si="45">W99+1</f>
        <v>2027</v>
      </c>
      <c r="Y99" s="20">
        <f t="shared" ref="Y99" si="46">X99+1</f>
        <v>2028</v>
      </c>
      <c r="Z99" s="20">
        <f t="shared" ref="Z99" si="47">Y99+1</f>
        <v>2029</v>
      </c>
      <c r="AA99" s="44">
        <f t="shared" ref="AA99" si="48">Z99+1</f>
        <v>2030</v>
      </c>
      <c r="AD99" s="20"/>
    </row>
    <row r="100" spans="1:30" x14ac:dyDescent="0.2">
      <c r="A100" s="25"/>
      <c r="B100" s="116" t="s">
        <v>153</v>
      </c>
      <c r="C100" s="87">
        <f>Q60</f>
        <v>514365687</v>
      </c>
      <c r="D100" s="63" t="s">
        <v>154</v>
      </c>
      <c r="E100" s="28"/>
      <c r="F100" s="27"/>
      <c r="G100" s="47">
        <f>C94</f>
        <v>505.97745229059353</v>
      </c>
      <c r="H100" s="15">
        <f>G100*((100+$C$97)/100)</f>
        <v>508.68595788002096</v>
      </c>
      <c r="I100" s="15">
        <f t="shared" ref="I100:W100" si="49">H100*((100+$C$97)/100)</f>
        <v>511.40896214423071</v>
      </c>
      <c r="J100" s="15">
        <f t="shared" si="49"/>
        <v>514.14654269486641</v>
      </c>
      <c r="K100" s="15">
        <f t="shared" si="49"/>
        <v>516.89877755902796</v>
      </c>
      <c r="L100" s="15">
        <f t="shared" si="49"/>
        <v>519.66574518149582</v>
      </c>
      <c r="M100" s="15">
        <f t="shared" si="49"/>
        <v>522.44752442696642</v>
      </c>
      <c r="N100" s="15">
        <f t="shared" si="49"/>
        <v>525.24419458230022</v>
      </c>
      <c r="O100" s="15">
        <f t="shared" si="49"/>
        <v>528.05583535878179</v>
      </c>
      <c r="P100" s="15">
        <f t="shared" si="49"/>
        <v>530.88252689439116</v>
      </c>
      <c r="Q100" s="45">
        <f t="shared" si="49"/>
        <v>533.7243497560886</v>
      </c>
      <c r="R100" s="15">
        <f t="shared" si="49"/>
        <v>536.58138494211039</v>
      </c>
      <c r="S100" s="15">
        <f t="shared" si="49"/>
        <v>539.45371388427782</v>
      </c>
      <c r="T100" s="15">
        <f t="shared" si="49"/>
        <v>542.34141845031809</v>
      </c>
      <c r="U100" s="15">
        <f t="shared" si="49"/>
        <v>545.24458094619752</v>
      </c>
      <c r="V100" s="45">
        <f t="shared" si="49"/>
        <v>548.1632841184678</v>
      </c>
      <c r="W100" s="15">
        <f t="shared" si="49"/>
        <v>551.09761115662411</v>
      </c>
      <c r="X100" s="15">
        <f t="shared" ref="X100" si="50">W100*((100+$C$97)/100)</f>
        <v>554.0476456954766</v>
      </c>
      <c r="Y100" s="15">
        <f t="shared" ref="Y100" si="51">X100*((100+$C$97)/100)</f>
        <v>557.01347181753363</v>
      </c>
      <c r="Z100" s="15">
        <f t="shared" ref="Z100" si="52">Y100*((100+$C$97)/100)</f>
        <v>559.99517405539871</v>
      </c>
      <c r="AA100" s="45">
        <f t="shared" ref="AA100" si="53">Z100*((100+$C$97)/100)</f>
        <v>562.9928373941799</v>
      </c>
      <c r="AD100" s="15"/>
    </row>
    <row r="101" spans="1:30" ht="15" x14ac:dyDescent="0.25">
      <c r="A101" s="62"/>
      <c r="B101" s="31" t="s">
        <v>76</v>
      </c>
      <c r="C101" s="48">
        <f>C99*Q60/1000</f>
        <v>274529491.83091879</v>
      </c>
      <c r="D101" s="49" t="s">
        <v>61</v>
      </c>
      <c r="E101" s="64"/>
    </row>
    <row r="102" spans="1:30" ht="15" x14ac:dyDescent="0.25">
      <c r="A102" s="62"/>
      <c r="B102" s="31"/>
      <c r="C102" s="48"/>
      <c r="D102" s="49"/>
      <c r="E102" s="64"/>
    </row>
    <row r="103" spans="1:30" x14ac:dyDescent="0.2">
      <c r="A103" s="62"/>
      <c r="B103" s="31" t="s">
        <v>186</v>
      </c>
      <c r="C103" s="30">
        <f>HLOOKUP(2025,G99:W100,2)</f>
        <v>548.1632841184678</v>
      </c>
      <c r="D103" s="26" t="s">
        <v>75</v>
      </c>
      <c r="E103" s="64"/>
    </row>
    <row r="104" spans="1:30" x14ac:dyDescent="0.2">
      <c r="A104" s="62"/>
      <c r="B104" s="116" t="s">
        <v>187</v>
      </c>
      <c r="C104" s="87">
        <f>R60</f>
        <v>519109103</v>
      </c>
      <c r="D104" s="63" t="s">
        <v>154</v>
      </c>
      <c r="E104" s="64"/>
    </row>
    <row r="105" spans="1:30" ht="15" x14ac:dyDescent="0.25">
      <c r="A105" s="62"/>
      <c r="B105" s="31" t="s">
        <v>188</v>
      </c>
      <c r="C105" s="48">
        <f>C103*R60/1000</f>
        <v>284556550.716272</v>
      </c>
      <c r="D105" s="49" t="s">
        <v>61</v>
      </c>
      <c r="E105" s="64"/>
    </row>
    <row r="106" spans="1:30" ht="15" x14ac:dyDescent="0.25">
      <c r="A106" s="62"/>
      <c r="B106" s="31"/>
      <c r="C106" s="48"/>
      <c r="D106" s="49"/>
      <c r="E106" s="64"/>
    </row>
    <row r="107" spans="1:30" x14ac:dyDescent="0.2">
      <c r="A107" s="62"/>
      <c r="B107" s="31" t="s">
        <v>189</v>
      </c>
      <c r="C107" s="30">
        <f>HLOOKUP(2030,G99:W100,2)</f>
        <v>551.09761115662411</v>
      </c>
      <c r="D107" s="26" t="s">
        <v>75</v>
      </c>
      <c r="E107" s="64"/>
    </row>
    <row r="108" spans="1:30" x14ac:dyDescent="0.2">
      <c r="A108" s="62"/>
      <c r="B108" s="116" t="s">
        <v>190</v>
      </c>
      <c r="C108" s="87">
        <f>S60</f>
        <v>522342413</v>
      </c>
      <c r="D108" s="63" t="s">
        <v>154</v>
      </c>
      <c r="E108" s="64"/>
    </row>
    <row r="109" spans="1:30" ht="15" x14ac:dyDescent="0.25">
      <c r="A109" s="62"/>
      <c r="B109" s="31" t="s">
        <v>191</v>
      </c>
      <c r="C109" s="48">
        <f>C107*S60/1000</f>
        <v>287861656.01008672</v>
      </c>
      <c r="D109" s="49" t="s">
        <v>61</v>
      </c>
      <c r="E109" s="64"/>
    </row>
    <row r="110" spans="1:30" ht="15" x14ac:dyDescent="0.25">
      <c r="A110" s="50"/>
      <c r="B110" s="65"/>
      <c r="C110" s="66"/>
      <c r="D110" s="67"/>
      <c r="E110" s="51"/>
    </row>
    <row r="111" spans="1:30" ht="15" x14ac:dyDescent="0.25">
      <c r="A111" s="63"/>
      <c r="B111" s="31"/>
      <c r="C111" s="48"/>
      <c r="D111" s="49"/>
      <c r="E111" s="63"/>
    </row>
    <row r="112" spans="1:30" ht="15" x14ac:dyDescent="0.25">
      <c r="A112" s="63"/>
      <c r="B112" s="31"/>
      <c r="C112" s="48"/>
      <c r="D112" s="49"/>
      <c r="E112" s="63"/>
    </row>
    <row r="113" spans="1:7" ht="15" x14ac:dyDescent="0.25">
      <c r="A113" s="190" t="s">
        <v>196</v>
      </c>
      <c r="B113" s="191"/>
      <c r="C113" s="192"/>
      <c r="D113" s="49"/>
      <c r="E113" s="63"/>
    </row>
    <row r="114" spans="1:7" ht="15" x14ac:dyDescent="0.25">
      <c r="A114" s="63"/>
      <c r="B114" s="31"/>
      <c r="C114" s="48"/>
      <c r="D114" s="49"/>
      <c r="E114" s="63"/>
    </row>
    <row r="115" spans="1:7" ht="15" x14ac:dyDescent="0.25">
      <c r="A115" s="63" t="s">
        <v>199</v>
      </c>
      <c r="C115" s="114" t="s">
        <v>77</v>
      </c>
      <c r="D115" s="186"/>
      <c r="E115" s="49"/>
    </row>
    <row r="116" spans="1:7" x14ac:dyDescent="0.2">
      <c r="A116" s="63">
        <v>2010</v>
      </c>
      <c r="B116" s="184">
        <f>'total generation'!B15*1000/O60*1000</f>
        <v>509.23065916521603</v>
      </c>
      <c r="C116" s="14">
        <f>B116/$B$116*100</f>
        <v>100</v>
      </c>
      <c r="D116" s="48"/>
      <c r="E116" s="37" t="s">
        <v>85</v>
      </c>
      <c r="F116" s="37" t="s">
        <v>86</v>
      </c>
      <c r="G116" s="37" t="s">
        <v>87</v>
      </c>
    </row>
    <row r="117" spans="1:7" x14ac:dyDescent="0.2">
      <c r="A117" s="188">
        <v>2015</v>
      </c>
      <c r="B117" s="189">
        <f>(B116+B118)/2</f>
        <v>517.21741096911387</v>
      </c>
      <c r="C117" s="14">
        <f>B117/$B$116*100</f>
        <v>101.56839570833982</v>
      </c>
      <c r="D117" s="48"/>
      <c r="E117" s="39">
        <f>LINEST(C116:C120,,TRUE)</f>
        <v>1.3538288684261897</v>
      </c>
      <c r="F117" s="39">
        <f>LINEST(C124:C128,,TRUE)</f>
        <v>3.9079609981663244</v>
      </c>
      <c r="G117" s="178">
        <f>F117-E117</f>
        <v>2.5541321297401347</v>
      </c>
    </row>
    <row r="118" spans="1:7" ht="15" x14ac:dyDescent="0.25">
      <c r="A118" s="63">
        <f>'total generation'!G8</f>
        <v>2020</v>
      </c>
      <c r="B118" s="184">
        <f>'total generation'!I8/Q60*1000</f>
        <v>525.20416277301172</v>
      </c>
      <c r="C118" s="14">
        <f>B118/$B$116*100</f>
        <v>103.13679141667964</v>
      </c>
      <c r="D118" s="185"/>
      <c r="E118" s="49"/>
    </row>
    <row r="119" spans="1:7" x14ac:dyDescent="0.2">
      <c r="A119" s="63">
        <f>'total generation'!G9</f>
        <v>2025</v>
      </c>
      <c r="B119" s="184">
        <f>'total generation'!I9/R60*1000</f>
        <v>531.96331638977244</v>
      </c>
      <c r="C119" s="14">
        <f>B119/$B$116*100</f>
        <v>104.46411794251</v>
      </c>
      <c r="D119" s="185"/>
      <c r="E119" s="5" t="str">
        <f>IF(G117&gt;2,"absolute decoupling",
IF(AND(G117&gt;0.2,G117&lt;2),"decoupling",
IF(G117&lt;-0.2,"reverse decoupling",
IF(AND(G117&lt;0.2,G117&gt;-0.2),"coupling","fout"))))</f>
        <v>absolute decoupling</v>
      </c>
    </row>
    <row r="120" spans="1:7" ht="15" x14ac:dyDescent="0.25">
      <c r="A120" s="63">
        <f>'total generation'!G10</f>
        <v>2030</v>
      </c>
      <c r="B120" s="184">
        <f>'total generation'!I10/S60*1000</f>
        <v>536.32826480816516</v>
      </c>
      <c r="C120" s="14">
        <f>B120/$B$116*100</f>
        <v>105.32128322504586</v>
      </c>
      <c r="D120" s="185"/>
      <c r="E120" s="49"/>
    </row>
    <row r="121" spans="1:7" ht="15" x14ac:dyDescent="0.25">
      <c r="B121" s="63"/>
      <c r="C121" s="184"/>
      <c r="D121" s="185"/>
      <c r="E121" s="49"/>
      <c r="G121" s="14"/>
    </row>
    <row r="122" spans="1:7" ht="15" x14ac:dyDescent="0.25">
      <c r="A122" s="63"/>
      <c r="B122" s="31"/>
      <c r="C122" s="48"/>
      <c r="D122" s="49"/>
      <c r="E122" s="63"/>
    </row>
    <row r="123" spans="1:7" ht="15" x14ac:dyDescent="0.25">
      <c r="A123" s="63" t="s">
        <v>197</v>
      </c>
      <c r="C123" s="114" t="s">
        <v>83</v>
      </c>
      <c r="D123" s="49"/>
      <c r="E123" s="63"/>
    </row>
    <row r="124" spans="1:7" ht="15" x14ac:dyDescent="0.25">
      <c r="A124" s="31">
        <f>A116</f>
        <v>2010</v>
      </c>
      <c r="B124" s="184">
        <f>J66</f>
        <v>6484350.7000000002</v>
      </c>
      <c r="C124" s="14">
        <f>B124/$B$124*100</f>
        <v>100</v>
      </c>
      <c r="D124" s="49"/>
      <c r="E124" s="63"/>
    </row>
    <row r="125" spans="1:7" ht="15" x14ac:dyDescent="0.25">
      <c r="A125" s="31">
        <v>2015</v>
      </c>
      <c r="B125" s="184">
        <f>J71</f>
        <v>6742282.1886946401</v>
      </c>
      <c r="C125" s="14">
        <f>B125/$B$124*100</f>
        <v>103.97775352734453</v>
      </c>
      <c r="D125" s="49"/>
      <c r="E125" s="63"/>
    </row>
    <row r="126" spans="1:7" ht="15" x14ac:dyDescent="0.25">
      <c r="A126" s="31">
        <f>A118</f>
        <v>2020</v>
      </c>
      <c r="B126" s="184">
        <f>J76</f>
        <v>6994556.6869463902</v>
      </c>
      <c r="C126" s="14">
        <f>B126/$B$124*100</f>
        <v>107.86826639321636</v>
      </c>
      <c r="D126" s="49"/>
      <c r="E126" s="63"/>
    </row>
    <row r="127" spans="1:7" ht="15" x14ac:dyDescent="0.25">
      <c r="A127" s="31">
        <f>A119</f>
        <v>2025</v>
      </c>
      <c r="B127" s="184">
        <f>J81</f>
        <v>7246831.1851981301</v>
      </c>
      <c r="C127" s="14">
        <f>B127/$B$124*100</f>
        <v>111.75877925908804</v>
      </c>
      <c r="D127" s="49"/>
      <c r="E127" s="63"/>
    </row>
    <row r="128" spans="1:7" ht="15" x14ac:dyDescent="0.25">
      <c r="A128" s="31">
        <f>A120</f>
        <v>2030</v>
      </c>
      <c r="B128" s="184">
        <f>J86</f>
        <v>7499105.6834498802</v>
      </c>
      <c r="C128" s="14">
        <f>B128/$B$124*100</f>
        <v>115.64929212495987</v>
      </c>
      <c r="D128" s="49"/>
      <c r="E128" s="63"/>
    </row>
    <row r="129" spans="1:27" ht="15" x14ac:dyDescent="0.25">
      <c r="A129" s="63"/>
      <c r="B129" s="31"/>
      <c r="D129" s="49"/>
      <c r="E129" s="63"/>
    </row>
    <row r="130" spans="1:27" ht="15" x14ac:dyDescent="0.25">
      <c r="A130" s="63"/>
      <c r="B130" s="31"/>
      <c r="D130" s="49"/>
      <c r="E130" s="63"/>
    </row>
    <row r="131" spans="1:27" x14ac:dyDescent="0.2">
      <c r="A131" s="21" t="s">
        <v>71</v>
      </c>
      <c r="B131" s="22"/>
      <c r="C131" s="23"/>
      <c r="D131" s="22"/>
      <c r="E131" s="24"/>
    </row>
    <row r="132" spans="1:27" x14ac:dyDescent="0.2">
      <c r="A132" s="25"/>
      <c r="B132" s="31" t="s">
        <v>152</v>
      </c>
      <c r="C132" s="30">
        <f>V15/O60*1000000</f>
        <v>505.97745229059353</v>
      </c>
      <c r="D132" s="26" t="s">
        <v>72</v>
      </c>
      <c r="E132" s="28"/>
    </row>
    <row r="133" spans="1:27" x14ac:dyDescent="0.2">
      <c r="A133" s="25"/>
      <c r="B133" s="31" t="s">
        <v>73</v>
      </c>
      <c r="C133" s="43" t="str">
        <f>IF(G117&gt;2,"absolute decoupling",
IF(AND(G117&gt;0.2,G117&lt;2),"decoupling",
IF(G117&lt;-0.2,"reverse decoupling",
IF(AND(G117&lt;0.2,G117&gt;-0.2),"coupling","fout"))))</f>
        <v>absolute decoupling</v>
      </c>
      <c r="D133" s="41" t="str">
        <f>CONCATENATE("D=",ROUND(G117,2))</f>
        <v>D=2,55</v>
      </c>
      <c r="E133" s="28"/>
    </row>
    <row r="134" spans="1:27" x14ac:dyDescent="0.2">
      <c r="A134" s="25"/>
      <c r="B134" s="31" t="s">
        <v>203</v>
      </c>
      <c r="C134" s="43">
        <f>K54</f>
        <v>0.76028098020359813</v>
      </c>
      <c r="D134" s="26" t="s">
        <v>60</v>
      </c>
      <c r="E134" s="28"/>
    </row>
    <row r="135" spans="1:27" x14ac:dyDescent="0.2">
      <c r="A135" s="25"/>
      <c r="B135" s="31" t="s">
        <v>74</v>
      </c>
      <c r="C135" s="59">
        <f>IF(C133="absolute decoupling",0,
IF(C133="decoupling",K54*(((-1/2)*G117)+1),
IF(C133="coupling",K54,
IF(AND(C133="reverse decoupling",G117&gt;-2,K54&gt;0),K54*(((-1/2)*G117)+1),
IF(AND(C133="reverse decoupling",G117&lt;=-2,K54&gt;0),K54*2,
IF(AND(C133="reverse decoupling",G117&gt;-2,K54&lt;0),K54/(((-1/2)*G117)+1),
IF(AND(C133="reverse decoupling",G117&lt;=-2,K54&lt;0),K54/2)))))))</f>
        <v>0</v>
      </c>
      <c r="D135" s="26" t="s">
        <v>60</v>
      </c>
      <c r="E135" s="28"/>
    </row>
    <row r="136" spans="1:27" x14ac:dyDescent="0.2">
      <c r="A136" s="193"/>
      <c r="B136" s="207"/>
      <c r="C136" s="208"/>
      <c r="D136" s="209"/>
      <c r="E136" s="194"/>
    </row>
    <row r="137" spans="1:27" hidden="1" x14ac:dyDescent="0.2">
      <c r="A137" s="25"/>
      <c r="B137" s="31" t="s">
        <v>184</v>
      </c>
      <c r="C137" s="30">
        <f>HLOOKUP(2020,G137:W138,2)</f>
        <v>505.97745229059353</v>
      </c>
      <c r="D137" s="26" t="s">
        <v>75</v>
      </c>
      <c r="E137" s="28"/>
      <c r="G137" s="205" t="str">
        <f>G99</f>
        <v>2010</v>
      </c>
      <c r="H137" s="205">
        <f t="shared" ref="H137:Z137" si="54">H99</f>
        <v>2011</v>
      </c>
      <c r="I137" s="205">
        <f t="shared" si="54"/>
        <v>2012</v>
      </c>
      <c r="J137" s="205">
        <f t="shared" si="54"/>
        <v>2013</v>
      </c>
      <c r="K137" s="205">
        <f t="shared" si="54"/>
        <v>2014</v>
      </c>
      <c r="L137" s="205">
        <f t="shared" si="54"/>
        <v>2015</v>
      </c>
      <c r="M137" s="205">
        <f t="shared" si="54"/>
        <v>2016</v>
      </c>
      <c r="N137" s="205">
        <f t="shared" si="54"/>
        <v>2017</v>
      </c>
      <c r="O137" s="205">
        <f t="shared" si="54"/>
        <v>2018</v>
      </c>
      <c r="P137" s="205">
        <f t="shared" si="54"/>
        <v>2019</v>
      </c>
      <c r="Q137" s="206">
        <f t="shared" si="54"/>
        <v>2020</v>
      </c>
      <c r="R137" s="205">
        <f t="shared" si="54"/>
        <v>2021</v>
      </c>
      <c r="S137" s="205">
        <f t="shared" si="54"/>
        <v>2022</v>
      </c>
      <c r="T137" s="205">
        <f t="shared" si="54"/>
        <v>2023</v>
      </c>
      <c r="U137" s="205">
        <f t="shared" si="54"/>
        <v>2024</v>
      </c>
      <c r="V137" s="206">
        <f t="shared" si="54"/>
        <v>2025</v>
      </c>
      <c r="W137" s="205">
        <f t="shared" si="54"/>
        <v>2026</v>
      </c>
      <c r="X137" s="205">
        <f t="shared" si="54"/>
        <v>2027</v>
      </c>
      <c r="Y137" s="205">
        <f t="shared" si="54"/>
        <v>2028</v>
      </c>
      <c r="Z137" s="205">
        <f t="shared" si="54"/>
        <v>2029</v>
      </c>
      <c r="AA137" s="206">
        <f>AA99</f>
        <v>2030</v>
      </c>
    </row>
    <row r="138" spans="1:27" hidden="1" x14ac:dyDescent="0.2">
      <c r="A138" s="25"/>
      <c r="B138" s="116" t="s">
        <v>153</v>
      </c>
      <c r="C138" s="87">
        <f>Q60</f>
        <v>514365687</v>
      </c>
      <c r="D138" s="63" t="s">
        <v>154</v>
      </c>
      <c r="E138" s="28"/>
      <c r="G138" s="47">
        <f>C132</f>
        <v>505.97745229059353</v>
      </c>
      <c r="H138" s="15">
        <f>G138*((100+$C$135)/100)</f>
        <v>505.97745229059353</v>
      </c>
      <c r="I138" s="15">
        <f t="shared" ref="I138:AA138" si="55">H138*((100+$C$135)/100)</f>
        <v>505.97745229059353</v>
      </c>
      <c r="J138" s="15">
        <f t="shared" si="55"/>
        <v>505.97745229059353</v>
      </c>
      <c r="K138" s="15">
        <f t="shared" si="55"/>
        <v>505.97745229059353</v>
      </c>
      <c r="L138" s="15">
        <f t="shared" si="55"/>
        <v>505.97745229059353</v>
      </c>
      <c r="M138" s="15">
        <f t="shared" si="55"/>
        <v>505.97745229059353</v>
      </c>
      <c r="N138" s="15">
        <f t="shared" si="55"/>
        <v>505.97745229059353</v>
      </c>
      <c r="O138" s="15">
        <f t="shared" si="55"/>
        <v>505.97745229059353</v>
      </c>
      <c r="P138" s="15">
        <f t="shared" si="55"/>
        <v>505.97745229059353</v>
      </c>
      <c r="Q138" s="45">
        <f t="shared" si="55"/>
        <v>505.97745229059353</v>
      </c>
      <c r="R138" s="15">
        <f t="shared" si="55"/>
        <v>505.97745229059353</v>
      </c>
      <c r="S138" s="15">
        <f t="shared" si="55"/>
        <v>505.97745229059353</v>
      </c>
      <c r="T138" s="15">
        <f t="shared" si="55"/>
        <v>505.97745229059353</v>
      </c>
      <c r="U138" s="15">
        <f t="shared" si="55"/>
        <v>505.97745229059353</v>
      </c>
      <c r="V138" s="45">
        <f t="shared" si="55"/>
        <v>505.97745229059353</v>
      </c>
      <c r="W138" s="15">
        <f t="shared" si="55"/>
        <v>505.97745229059353</v>
      </c>
      <c r="X138" s="15">
        <f t="shared" si="55"/>
        <v>505.97745229059353</v>
      </c>
      <c r="Y138" s="15">
        <f t="shared" si="55"/>
        <v>505.97745229059353</v>
      </c>
      <c r="Z138" s="15">
        <f t="shared" si="55"/>
        <v>505.97745229059353</v>
      </c>
      <c r="AA138" s="45">
        <f t="shared" si="55"/>
        <v>505.97745229059353</v>
      </c>
    </row>
    <row r="139" spans="1:27" ht="15" hidden="1" x14ac:dyDescent="0.25">
      <c r="A139" s="62"/>
      <c r="B139" s="31" t="s">
        <v>76</v>
      </c>
      <c r="C139" s="48">
        <f>C137*Q60/1000</f>
        <v>260257439.85396087</v>
      </c>
      <c r="D139" s="49" t="s">
        <v>61</v>
      </c>
      <c r="E139" s="64"/>
    </row>
    <row r="140" spans="1:27" ht="15" hidden="1" x14ac:dyDescent="0.25">
      <c r="A140" s="62"/>
      <c r="B140" s="31"/>
      <c r="C140" s="48"/>
      <c r="D140" s="49"/>
      <c r="E140" s="64"/>
    </row>
    <row r="141" spans="1:27" hidden="1" x14ac:dyDescent="0.2">
      <c r="A141" s="62"/>
      <c r="B141" s="31" t="s">
        <v>186</v>
      </c>
      <c r="C141" s="30">
        <f>HLOOKUP(2025,G137:W138,2)</f>
        <v>505.97745229059353</v>
      </c>
      <c r="D141" s="26" t="s">
        <v>75</v>
      </c>
      <c r="E141" s="64"/>
    </row>
    <row r="142" spans="1:27" hidden="1" x14ac:dyDescent="0.2">
      <c r="A142" s="62"/>
      <c r="B142" s="116" t="s">
        <v>187</v>
      </c>
      <c r="C142" s="87">
        <f>R60</f>
        <v>519109103</v>
      </c>
      <c r="D142" s="63" t="s">
        <v>154</v>
      </c>
      <c r="E142" s="64"/>
    </row>
    <row r="143" spans="1:27" ht="15" hidden="1" x14ac:dyDescent="0.25">
      <c r="A143" s="62"/>
      <c r="B143" s="31" t="s">
        <v>188</v>
      </c>
      <c r="C143" s="48">
        <f>C141*R60/1000</f>
        <v>262657501.39679533</v>
      </c>
      <c r="D143" s="49" t="s">
        <v>61</v>
      </c>
      <c r="E143" s="64"/>
    </row>
    <row r="144" spans="1:27" ht="15" hidden="1" x14ac:dyDescent="0.25">
      <c r="A144" s="62"/>
      <c r="B144" s="31"/>
      <c r="C144" s="48"/>
      <c r="D144" s="49"/>
      <c r="E144" s="64"/>
    </row>
    <row r="145" spans="1:12" hidden="1" x14ac:dyDescent="0.2">
      <c r="A145" s="62"/>
      <c r="B145" s="31" t="s">
        <v>189</v>
      </c>
      <c r="C145" s="30">
        <f>HLOOKUP(2030,G137:W138,2)</f>
        <v>505.97745229059353</v>
      </c>
      <c r="D145" s="26" t="s">
        <v>75</v>
      </c>
      <c r="E145" s="64"/>
    </row>
    <row r="146" spans="1:12" hidden="1" x14ac:dyDescent="0.2">
      <c r="A146" s="62"/>
      <c r="B146" s="116" t="s">
        <v>190</v>
      </c>
      <c r="C146" s="87">
        <f>S60</f>
        <v>522342413</v>
      </c>
      <c r="D146" s="63" t="s">
        <v>154</v>
      </c>
      <c r="E146" s="64"/>
    </row>
    <row r="147" spans="1:12" ht="15" hidden="1" x14ac:dyDescent="0.25">
      <c r="A147" s="62"/>
      <c r="B147" s="31" t="s">
        <v>191</v>
      </c>
      <c r="C147" s="48">
        <f>C145*S60/1000</f>
        <v>264293483.35306099</v>
      </c>
      <c r="D147" s="49" t="s">
        <v>61</v>
      </c>
      <c r="E147" s="64"/>
    </row>
    <row r="148" spans="1:12" ht="15" hidden="1" x14ac:dyDescent="0.25">
      <c r="A148" s="50"/>
      <c r="B148" s="65"/>
      <c r="C148" s="66"/>
      <c r="D148" s="67"/>
      <c r="E148" s="51"/>
    </row>
    <row r="149" spans="1:12" ht="15" x14ac:dyDescent="0.25">
      <c r="A149" s="63"/>
      <c r="B149" s="31"/>
      <c r="D149" s="49"/>
      <c r="E149" s="63"/>
    </row>
    <row r="150" spans="1:12" ht="15" x14ac:dyDescent="0.25">
      <c r="A150" s="63"/>
      <c r="B150" s="31"/>
      <c r="D150" s="49"/>
      <c r="E150" s="63"/>
    </row>
    <row r="152" spans="1:12" x14ac:dyDescent="0.2">
      <c r="A152" s="12" t="s">
        <v>198</v>
      </c>
      <c r="B152" s="12"/>
      <c r="C152" s="12"/>
    </row>
    <row r="154" spans="1:12" x14ac:dyDescent="0.2">
      <c r="A154" s="21" t="s">
        <v>71</v>
      </c>
      <c r="B154" s="22"/>
      <c r="C154" s="23"/>
      <c r="D154" s="22"/>
      <c r="E154" s="24"/>
      <c r="H154" s="5" t="s">
        <v>110</v>
      </c>
      <c r="J154" s="5">
        <v>1</v>
      </c>
      <c r="K154" s="14">
        <f>VLOOKUP(J154,$AR$17:$AT$44,2)</f>
        <v>6.1224295268883164</v>
      </c>
      <c r="L154" s="14" t="str">
        <f>VLOOKUP(J154,$AR$17:$AT$44,3)</f>
        <v>Slovenia</v>
      </c>
    </row>
    <row r="155" spans="1:12" x14ac:dyDescent="0.2">
      <c r="A155" s="25"/>
      <c r="B155" s="31" t="str">
        <f>B94</f>
        <v>generation per capita in EU-27 (2010)</v>
      </c>
      <c r="C155" s="30">
        <f>C94</f>
        <v>505.97745229059353</v>
      </c>
      <c r="D155" s="26" t="s">
        <v>72</v>
      </c>
      <c r="E155" s="28"/>
      <c r="J155" s="5">
        <v>2</v>
      </c>
      <c r="K155" s="14">
        <f t="shared" ref="K155" si="56">VLOOKUP(J155,$AR$17:$AT$44,2)</f>
        <v>5.2537232033897361</v>
      </c>
      <c r="L155" s="14" t="str">
        <f t="shared" ref="L155:L156" si="57">VLOOKUP(J155,$AR$17:$AT$44,3)</f>
        <v>Malta</v>
      </c>
    </row>
    <row r="156" spans="1:12" x14ac:dyDescent="0.2">
      <c r="A156" s="25"/>
      <c r="B156" s="31" t="s">
        <v>73</v>
      </c>
      <c r="C156" s="55" t="s">
        <v>94</v>
      </c>
      <c r="D156" s="41" t="str">
        <f>CONCATENATE("D=",ROUND(K158,2))</f>
        <v>D=5,11</v>
      </c>
      <c r="E156" s="28"/>
      <c r="J156" s="5">
        <v>3</v>
      </c>
      <c r="K156" s="14">
        <f>VLOOKUP(J156,$AR$17:$AT$44,2)</f>
        <v>3.954121038050852</v>
      </c>
      <c r="L156" s="14" t="str">
        <f t="shared" si="57"/>
        <v>Sweden</v>
      </c>
    </row>
    <row r="157" spans="1:12" x14ac:dyDescent="0.2">
      <c r="A157" s="25"/>
      <c r="B157" s="31" t="s">
        <v>74</v>
      </c>
      <c r="C157" s="30">
        <f>IF(C156="absolute decoupling",0,
IF(AND(C156="decoupling",AL15&gt;0,AM15&gt;0),D57*AN15,
IF(AND(C156="decoupling",AL15&lt;0,AM15&lt;0),D57*(1/AN15),
IF(C156="coupling",D57,
IF(AN15&lt;2,D57*AN15,D57*2)))))</f>
        <v>0</v>
      </c>
      <c r="D157" s="26" t="s">
        <v>60</v>
      </c>
      <c r="E157" s="28"/>
    </row>
    <row r="158" spans="1:12" x14ac:dyDescent="0.2">
      <c r="A158" s="25"/>
      <c r="B158" s="41"/>
      <c r="C158" s="29"/>
      <c r="D158" s="27"/>
      <c r="E158" s="28"/>
      <c r="J158" s="5" t="s">
        <v>111</v>
      </c>
      <c r="K158" s="14">
        <f>AVERAGE(K154:K156)</f>
        <v>5.1100912561096345</v>
      </c>
    </row>
    <row r="159" spans="1:12" x14ac:dyDescent="0.2">
      <c r="A159" s="25"/>
      <c r="B159" s="31" t="s">
        <v>184</v>
      </c>
      <c r="C159" s="30">
        <f>C94</f>
        <v>505.97745229059353</v>
      </c>
      <c r="D159" s="26" t="s">
        <v>72</v>
      </c>
      <c r="E159" s="28"/>
    </row>
    <row r="160" spans="1:12" x14ac:dyDescent="0.2">
      <c r="A160" s="25"/>
      <c r="B160" s="31" t="str">
        <f>B100</f>
        <v>population in 2020</v>
      </c>
      <c r="C160" s="30">
        <f>C100</f>
        <v>514365687</v>
      </c>
      <c r="D160" s="26" t="str">
        <f>D100</f>
        <v>inh</v>
      </c>
      <c r="E160" s="28"/>
    </row>
    <row r="161" spans="1:16" ht="15" x14ac:dyDescent="0.25">
      <c r="A161" s="25"/>
      <c r="B161" s="31" t="s">
        <v>76</v>
      </c>
      <c r="C161" s="48">
        <f>C159*C160/1000</f>
        <v>260257439.85396087</v>
      </c>
      <c r="D161" s="49" t="s">
        <v>61</v>
      </c>
      <c r="E161" s="28"/>
    </row>
    <row r="162" spans="1:16" ht="15" x14ac:dyDescent="0.25">
      <c r="A162" s="25"/>
      <c r="B162" s="31"/>
      <c r="C162" s="48"/>
      <c r="D162" s="49"/>
      <c r="E162" s="28"/>
    </row>
    <row r="163" spans="1:16" x14ac:dyDescent="0.2">
      <c r="A163" s="25"/>
      <c r="B163" s="31" t="s">
        <v>186</v>
      </c>
      <c r="C163" s="30">
        <f>C94</f>
        <v>505.97745229059353</v>
      </c>
      <c r="D163" s="26" t="s">
        <v>72</v>
      </c>
      <c r="E163" s="28"/>
    </row>
    <row r="164" spans="1:16" x14ac:dyDescent="0.2">
      <c r="A164" s="25"/>
      <c r="B164" s="31" t="str">
        <f>B104</f>
        <v>population in 2025</v>
      </c>
      <c r="C164" s="30">
        <f>C104</f>
        <v>519109103</v>
      </c>
      <c r="D164" s="26" t="str">
        <f>D104</f>
        <v>inh</v>
      </c>
      <c r="E164" s="28"/>
    </row>
    <row r="165" spans="1:16" ht="15" x14ac:dyDescent="0.25">
      <c r="A165" s="25"/>
      <c r="B165" s="31" t="s">
        <v>188</v>
      </c>
      <c r="C165" s="48">
        <f>C163*C164/1000</f>
        <v>262657501.39679533</v>
      </c>
      <c r="D165" s="49" t="s">
        <v>61</v>
      </c>
      <c r="E165" s="28"/>
    </row>
    <row r="166" spans="1:16" ht="15" x14ac:dyDescent="0.25">
      <c r="A166" s="25"/>
      <c r="B166" s="31"/>
      <c r="C166" s="48"/>
      <c r="D166" s="49"/>
      <c r="E166" s="28"/>
    </row>
    <row r="167" spans="1:16" x14ac:dyDescent="0.2">
      <c r="A167" s="25"/>
      <c r="B167" s="31" t="s">
        <v>189</v>
      </c>
      <c r="C167" s="30">
        <f>C155</f>
        <v>505.97745229059353</v>
      </c>
      <c r="D167" s="26" t="s">
        <v>72</v>
      </c>
      <c r="E167" s="28"/>
    </row>
    <row r="168" spans="1:16" x14ac:dyDescent="0.2">
      <c r="A168" s="25"/>
      <c r="B168" s="31" t="str">
        <f>B108</f>
        <v>population in 2030</v>
      </c>
      <c r="C168" s="30">
        <f>C108</f>
        <v>522342413</v>
      </c>
      <c r="D168" s="26" t="str">
        <f>D108</f>
        <v>inh</v>
      </c>
      <c r="E168" s="28"/>
    </row>
    <row r="169" spans="1:16" ht="15" x14ac:dyDescent="0.25">
      <c r="A169" s="25"/>
      <c r="B169" s="31" t="s">
        <v>191</v>
      </c>
      <c r="C169" s="48">
        <f>C167*C168/1000</f>
        <v>264293483.35306099</v>
      </c>
      <c r="D169" s="49" t="s">
        <v>61</v>
      </c>
      <c r="E169" s="28"/>
    </row>
    <row r="170" spans="1:16" ht="15" x14ac:dyDescent="0.25">
      <c r="A170" s="25"/>
      <c r="B170" s="31"/>
      <c r="C170" s="48"/>
      <c r="D170" s="49"/>
      <c r="E170" s="28"/>
    </row>
    <row r="171" spans="1:16" ht="15" x14ac:dyDescent="0.25">
      <c r="A171" s="193"/>
      <c r="B171" s="65"/>
      <c r="C171" s="66"/>
      <c r="D171" s="67"/>
      <c r="E171" s="194"/>
    </row>
    <row r="173" spans="1:16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116"/>
      <c r="K174" s="305"/>
      <c r="L174" s="305"/>
      <c r="M174" s="63"/>
      <c r="N174" s="63"/>
      <c r="O174" s="63"/>
      <c r="P174" s="63"/>
    </row>
    <row r="175" spans="1:16" x14ac:dyDescent="0.2">
      <c r="A175" s="63"/>
      <c r="B175" s="63"/>
      <c r="C175" s="40"/>
      <c r="D175" s="63"/>
      <c r="E175" s="63"/>
      <c r="F175" s="63"/>
      <c r="G175" s="63"/>
      <c r="H175" s="63"/>
      <c r="I175" s="63"/>
      <c r="J175" s="116"/>
      <c r="K175" s="305"/>
      <c r="L175" s="305"/>
      <c r="M175" s="63"/>
      <c r="N175" s="63"/>
      <c r="O175" s="63"/>
      <c r="P175" s="63"/>
    </row>
    <row r="176" spans="1:16" ht="15" x14ac:dyDescent="0.25">
      <c r="A176" s="63"/>
      <c r="B176" s="31"/>
      <c r="C176" s="48"/>
      <c r="D176" s="49"/>
      <c r="E176" s="63"/>
      <c r="F176" s="63"/>
      <c r="G176" s="63"/>
      <c r="H176" s="63"/>
      <c r="I176" s="63"/>
      <c r="J176" s="63"/>
      <c r="K176" s="305"/>
      <c r="L176" s="305"/>
      <c r="M176" s="63"/>
      <c r="N176" s="116"/>
      <c r="O176" s="40"/>
      <c r="P176" s="63"/>
    </row>
    <row r="178" spans="3:3" x14ac:dyDescent="0.2">
      <c r="C178" s="115"/>
    </row>
    <row r="179" spans="3:3" x14ac:dyDescent="0.2">
      <c r="C179" s="115"/>
    </row>
  </sheetData>
  <sortState ref="AZ13:BB40">
    <sortCondition ref="AZ13:AZ40"/>
  </sortState>
  <mergeCells count="1">
    <mergeCell ref="O47:T50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5"/>
  <sheetViews>
    <sheetView topLeftCell="A2" zoomScaleNormal="100" workbookViewId="0">
      <selection activeCell="A10" sqref="A10"/>
    </sheetView>
  </sheetViews>
  <sheetFormatPr defaultRowHeight="14.25" x14ac:dyDescent="0.2"/>
  <cols>
    <col min="1" max="1" width="36.125" style="5" bestFit="1" customWidth="1"/>
    <col min="2" max="2" width="16" style="5" bestFit="1" customWidth="1"/>
    <col min="3" max="3" width="13.375" style="5" bestFit="1" customWidth="1"/>
    <col min="4" max="4" width="3.625" style="5" customWidth="1"/>
    <col min="5" max="7" width="13.75" style="5" bestFit="1" customWidth="1"/>
    <col min="8" max="8" width="13.75" style="5" customWidth="1"/>
    <col min="9" max="9" width="4.25" style="5" customWidth="1"/>
    <col min="10" max="10" width="14.75" style="5" bestFit="1" customWidth="1"/>
    <col min="11" max="11" width="17.5" style="5" bestFit="1" customWidth="1"/>
    <col min="12" max="12" width="20.5" style="5" bestFit="1" customWidth="1"/>
    <col min="13" max="21" width="9" style="5"/>
    <col min="22" max="22" width="26.125" style="5" bestFit="1" customWidth="1"/>
    <col min="23" max="16384" width="9" style="5"/>
  </cols>
  <sheetData>
    <row r="2" spans="1:28" ht="15" x14ac:dyDescent="0.25">
      <c r="A2" s="173" t="s">
        <v>157</v>
      </c>
    </row>
    <row r="5" spans="1:28" x14ac:dyDescent="0.2">
      <c r="A5" s="113" t="s">
        <v>0</v>
      </c>
    </row>
    <row r="7" spans="1:28" x14ac:dyDescent="0.2">
      <c r="A7" s="10" t="s">
        <v>1</v>
      </c>
      <c r="B7" s="11">
        <v>41459.631990740745</v>
      </c>
    </row>
    <row r="8" spans="1:28" x14ac:dyDescent="0.2">
      <c r="A8" s="10" t="s">
        <v>2</v>
      </c>
      <c r="B8" s="11">
        <v>41606.722055451391</v>
      </c>
    </row>
    <row r="9" spans="1:28" x14ac:dyDescent="0.2">
      <c r="A9" s="10" t="s">
        <v>3</v>
      </c>
      <c r="B9" s="10" t="s">
        <v>4</v>
      </c>
    </row>
    <row r="10" spans="1:28" ht="15" x14ac:dyDescent="0.25">
      <c r="G10" s="57" t="s">
        <v>204</v>
      </c>
      <c r="J10" s="57" t="s">
        <v>205</v>
      </c>
      <c r="O10" s="57" t="s">
        <v>208</v>
      </c>
      <c r="V10" s="57" t="s">
        <v>198</v>
      </c>
      <c r="AA10" s="57" t="s">
        <v>218</v>
      </c>
    </row>
    <row r="11" spans="1:28" x14ac:dyDescent="0.2">
      <c r="A11" s="10" t="s">
        <v>7</v>
      </c>
      <c r="B11" s="10" t="s">
        <v>46</v>
      </c>
    </row>
    <row r="12" spans="1:28" x14ac:dyDescent="0.2">
      <c r="V12" s="5" t="s">
        <v>120</v>
      </c>
      <c r="X12" s="14">
        <f>AVERAGE(X17:X19)</f>
        <v>38.175047483084192</v>
      </c>
      <c r="Y12" s="5" t="s">
        <v>60</v>
      </c>
      <c r="AA12" s="5">
        <v>2020</v>
      </c>
      <c r="AB12" s="304">
        <f>'MSW paper glass metal plastics'!AL146</f>
        <v>31.312577896048779</v>
      </c>
    </row>
    <row r="13" spans="1:28" x14ac:dyDescent="0.2">
      <c r="A13" s="7" t="s">
        <v>5</v>
      </c>
      <c r="B13" s="7" t="s">
        <v>6</v>
      </c>
      <c r="C13" s="7" t="s">
        <v>95</v>
      </c>
      <c r="E13" s="5" t="s">
        <v>96</v>
      </c>
      <c r="J13" s="323" t="s">
        <v>97</v>
      </c>
      <c r="K13" s="324"/>
      <c r="L13" s="324"/>
      <c r="M13" s="325"/>
      <c r="O13" s="5">
        <v>2020</v>
      </c>
      <c r="P13" s="5">
        <f>K31</f>
        <v>35</v>
      </c>
      <c r="Q13" s="5" t="s">
        <v>60</v>
      </c>
      <c r="R13" s="5" t="s">
        <v>210</v>
      </c>
      <c r="AA13" s="5">
        <v>2025</v>
      </c>
      <c r="AB13" s="304">
        <f>'MSW paper glass metal plastics'!AM146</f>
        <v>40.889500972971859</v>
      </c>
    </row>
    <row r="14" spans="1:28" x14ac:dyDescent="0.2">
      <c r="A14" s="7" t="s">
        <v>8</v>
      </c>
      <c r="B14" s="7" t="s">
        <v>15</v>
      </c>
      <c r="C14" s="7" t="s">
        <v>15</v>
      </c>
      <c r="J14" s="320"/>
      <c r="K14" s="321"/>
      <c r="L14" s="36" t="s">
        <v>105</v>
      </c>
      <c r="M14" s="36"/>
      <c r="O14" s="5">
        <v>2025</v>
      </c>
      <c r="P14" s="5">
        <v>60</v>
      </c>
      <c r="Q14" s="5" t="s">
        <v>60</v>
      </c>
      <c r="R14" s="5" t="s">
        <v>211</v>
      </c>
      <c r="W14" s="5" t="s">
        <v>217</v>
      </c>
      <c r="AA14" s="5">
        <v>2030</v>
      </c>
      <c r="AB14" s="304">
        <f>'MSW paper glass metal plastics'!AN146</f>
        <v>40.889500972971859</v>
      </c>
    </row>
    <row r="15" spans="1:28" x14ac:dyDescent="0.2">
      <c r="A15" s="7" t="s">
        <v>16</v>
      </c>
      <c r="B15" s="6">
        <v>253249</v>
      </c>
      <c r="C15" s="6">
        <v>61879</v>
      </c>
      <c r="E15" s="14">
        <f t="shared" ref="E15:E44" si="0">C15/B15*100</f>
        <v>24.434055020947763</v>
      </c>
      <c r="F15" s="5" t="s">
        <v>60</v>
      </c>
      <c r="G15" s="14">
        <f>E15</f>
        <v>24.434055020947763</v>
      </c>
      <c r="H15" s="5" t="s">
        <v>60</v>
      </c>
      <c r="J15" s="68" t="s">
        <v>98</v>
      </c>
      <c r="K15" s="69">
        <v>20</v>
      </c>
      <c r="L15" s="326" t="s">
        <v>115</v>
      </c>
      <c r="M15" s="326">
        <f>SUM(K15:K18)*0.5</f>
        <v>24</v>
      </c>
      <c r="O15" s="5">
        <v>2030</v>
      </c>
      <c r="P15" s="5">
        <v>70</v>
      </c>
      <c r="Q15" s="5" t="s">
        <v>60</v>
      </c>
      <c r="R15" s="5" t="s">
        <v>211</v>
      </c>
      <c r="V15" s="5" t="str">
        <f>A15</f>
        <v>European Union (28 countries)</v>
      </c>
      <c r="X15" s="14">
        <f>E15</f>
        <v>24.434055020947763</v>
      </c>
      <c r="Y15" s="5" t="s">
        <v>60</v>
      </c>
    </row>
    <row r="16" spans="1:28" x14ac:dyDescent="0.2">
      <c r="A16" s="7" t="s">
        <v>17</v>
      </c>
      <c r="B16" s="6">
        <v>251604</v>
      </c>
      <c r="C16" s="6">
        <v>61756</v>
      </c>
      <c r="E16" s="14">
        <f t="shared" si="0"/>
        <v>24.54491979459786</v>
      </c>
      <c r="F16" s="5" t="s">
        <v>60</v>
      </c>
      <c r="J16" s="68" t="s">
        <v>112</v>
      </c>
      <c r="K16" s="71">
        <v>8</v>
      </c>
      <c r="L16" s="327"/>
      <c r="M16" s="327"/>
      <c r="V16" s="5" t="str">
        <f t="shared" ref="V16" si="1">A16</f>
        <v>European Union (27 countries)</v>
      </c>
      <c r="X16" s="14">
        <f t="shared" ref="X16" si="2">E16</f>
        <v>24.54491979459786</v>
      </c>
      <c r="Y16" s="5" t="s">
        <v>60</v>
      </c>
    </row>
    <row r="17" spans="1:25" x14ac:dyDescent="0.2">
      <c r="A17" s="7" t="s">
        <v>18</v>
      </c>
      <c r="B17" s="6">
        <v>5125</v>
      </c>
      <c r="C17" s="6">
        <v>1839</v>
      </c>
      <c r="E17" s="14">
        <f t="shared" si="0"/>
        <v>35.882926829268293</v>
      </c>
      <c r="F17" s="5" t="s">
        <v>60</v>
      </c>
      <c r="J17" s="68" t="s">
        <v>144</v>
      </c>
      <c r="K17" s="71">
        <v>14</v>
      </c>
      <c r="L17" s="327"/>
      <c r="M17" s="327"/>
      <c r="V17" s="5" t="s">
        <v>47</v>
      </c>
      <c r="W17" s="5">
        <v>1</v>
      </c>
      <c r="X17" s="14">
        <v>45.308882286650956</v>
      </c>
      <c r="Y17" s="5" t="s">
        <v>60</v>
      </c>
    </row>
    <row r="18" spans="1:25" ht="15" x14ac:dyDescent="0.25">
      <c r="A18" s="7" t="s">
        <v>19</v>
      </c>
      <c r="B18" s="6">
        <v>2753</v>
      </c>
      <c r="C18" s="6">
        <v>76</v>
      </c>
      <c r="E18" s="14">
        <f t="shared" si="0"/>
        <v>2.7606247729749365</v>
      </c>
      <c r="F18" s="5" t="s">
        <v>60</v>
      </c>
      <c r="J18" s="68" t="s">
        <v>113</v>
      </c>
      <c r="K18" s="71">
        <v>6</v>
      </c>
      <c r="L18" s="328"/>
      <c r="M18" s="328"/>
      <c r="O18" s="57" t="s">
        <v>212</v>
      </c>
      <c r="V18" s="5" t="s">
        <v>18</v>
      </c>
      <c r="W18" s="5">
        <v>2</v>
      </c>
      <c r="X18" s="14">
        <v>35.882926829268293</v>
      </c>
      <c r="Y18" s="5" t="s">
        <v>60</v>
      </c>
    </row>
    <row r="19" spans="1:25" x14ac:dyDescent="0.2">
      <c r="A19" s="7" t="s">
        <v>20</v>
      </c>
      <c r="B19" s="6">
        <v>3358</v>
      </c>
      <c r="C19" s="6">
        <v>496</v>
      </c>
      <c r="E19" s="14">
        <f t="shared" si="0"/>
        <v>14.770696843359143</v>
      </c>
      <c r="F19" s="5" t="s">
        <v>60</v>
      </c>
      <c r="J19" s="68" t="s">
        <v>99</v>
      </c>
      <c r="K19" s="71">
        <v>3.5</v>
      </c>
      <c r="L19" s="36"/>
      <c r="M19" s="70"/>
      <c r="V19" s="5" t="s">
        <v>23</v>
      </c>
      <c r="W19" s="5">
        <v>3</v>
      </c>
      <c r="X19" s="14">
        <v>33.333333333333329</v>
      </c>
      <c r="Y19" s="5" t="s">
        <v>60</v>
      </c>
    </row>
    <row r="20" spans="1:25" x14ac:dyDescent="0.2">
      <c r="A20" s="7" t="s">
        <v>21</v>
      </c>
      <c r="B20" s="6">
        <v>4001</v>
      </c>
      <c r="C20" s="6">
        <v>1224</v>
      </c>
      <c r="E20" s="14">
        <f t="shared" si="0"/>
        <v>30.592351912021993</v>
      </c>
      <c r="F20" s="5" t="s">
        <v>60</v>
      </c>
      <c r="J20" s="68" t="s">
        <v>100</v>
      </c>
      <c r="K20" s="71">
        <v>2.5</v>
      </c>
      <c r="L20" s="36"/>
      <c r="M20" s="70"/>
      <c r="O20" s="5" t="s">
        <v>213</v>
      </c>
      <c r="V20" s="5" t="s">
        <v>43</v>
      </c>
      <c r="W20" s="5">
        <v>4</v>
      </c>
      <c r="X20" s="14">
        <v>32.781609195402304</v>
      </c>
      <c r="Y20" s="5" t="s">
        <v>60</v>
      </c>
    </row>
    <row r="21" spans="1:25" x14ac:dyDescent="0.2">
      <c r="A21" s="7" t="s">
        <v>47</v>
      </c>
      <c r="B21" s="6">
        <v>48805</v>
      </c>
      <c r="C21" s="6">
        <v>22113</v>
      </c>
      <c r="E21" s="14">
        <f t="shared" si="0"/>
        <v>45.308882286650956</v>
      </c>
      <c r="F21" s="5" t="s">
        <v>60</v>
      </c>
      <c r="J21" s="68" t="s">
        <v>101</v>
      </c>
      <c r="K21" s="71">
        <v>3</v>
      </c>
      <c r="L21" s="36" t="s">
        <v>114</v>
      </c>
      <c r="M21" s="73">
        <f>K21*0.65</f>
        <v>1.9500000000000002</v>
      </c>
      <c r="V21" s="5" t="s">
        <v>21</v>
      </c>
      <c r="W21" s="5">
        <v>5</v>
      </c>
      <c r="X21" s="14">
        <v>30.592351912021993</v>
      </c>
      <c r="Y21" s="5" t="s">
        <v>60</v>
      </c>
    </row>
    <row r="22" spans="1:25" x14ac:dyDescent="0.2">
      <c r="A22" s="7" t="s">
        <v>22</v>
      </c>
      <c r="B22" s="6">
        <v>399</v>
      </c>
      <c r="C22" s="6">
        <v>70</v>
      </c>
      <c r="E22" s="14">
        <f t="shared" si="0"/>
        <v>17.543859649122805</v>
      </c>
      <c r="F22" s="5" t="s">
        <v>60</v>
      </c>
      <c r="J22" s="68" t="s">
        <v>102</v>
      </c>
      <c r="K22" s="71">
        <v>7</v>
      </c>
      <c r="L22" s="36"/>
      <c r="M22" s="70"/>
      <c r="O22" s="5">
        <v>2020</v>
      </c>
      <c r="P22" s="5">
        <v>50</v>
      </c>
      <c r="Q22" s="5" t="s">
        <v>60</v>
      </c>
      <c r="V22" s="5" t="s">
        <v>40</v>
      </c>
      <c r="W22" s="5">
        <v>6</v>
      </c>
      <c r="X22" s="14">
        <v>28.791469194312796</v>
      </c>
      <c r="Y22" s="5" t="s">
        <v>60</v>
      </c>
    </row>
    <row r="23" spans="1:25" x14ac:dyDescent="0.2">
      <c r="A23" s="7" t="s">
        <v>23</v>
      </c>
      <c r="B23" s="6">
        <v>2850</v>
      </c>
      <c r="C23" s="6">
        <v>950</v>
      </c>
      <c r="E23" s="14">
        <f t="shared" si="0"/>
        <v>33.333333333333329</v>
      </c>
      <c r="F23" s="5" t="s">
        <v>60</v>
      </c>
      <c r="J23" s="68" t="s">
        <v>103</v>
      </c>
      <c r="K23" s="71">
        <v>30</v>
      </c>
      <c r="L23" s="36" t="s">
        <v>119</v>
      </c>
      <c r="M23" s="73">
        <f>K23*0.14</f>
        <v>4.2</v>
      </c>
      <c r="O23" s="5">
        <v>2025</v>
      </c>
      <c r="P23" s="5">
        <v>50</v>
      </c>
      <c r="Q23" s="5" t="s">
        <v>60</v>
      </c>
      <c r="V23" s="5" t="s">
        <v>35</v>
      </c>
      <c r="W23" s="5">
        <v>7</v>
      </c>
      <c r="X23" s="14">
        <v>27.385141248617671</v>
      </c>
      <c r="Y23" s="5" t="s">
        <v>60</v>
      </c>
    </row>
    <row r="24" spans="1:25" x14ac:dyDescent="0.2">
      <c r="A24" s="7" t="s">
        <v>24</v>
      </c>
      <c r="B24" s="6">
        <v>5607</v>
      </c>
      <c r="C24" s="6">
        <v>840</v>
      </c>
      <c r="E24" s="14">
        <f t="shared" si="0"/>
        <v>14.981273408239701</v>
      </c>
      <c r="F24" s="5" t="s">
        <v>60</v>
      </c>
      <c r="J24" s="68" t="s">
        <v>104</v>
      </c>
      <c r="K24" s="71">
        <v>6</v>
      </c>
      <c r="L24" s="36"/>
      <c r="M24" s="70"/>
      <c r="O24" s="5">
        <v>2030</v>
      </c>
      <c r="P24" s="5">
        <v>50</v>
      </c>
      <c r="Q24" s="5" t="s">
        <v>60</v>
      </c>
      <c r="V24" s="5" t="s">
        <v>36</v>
      </c>
      <c r="W24" s="5">
        <v>8</v>
      </c>
      <c r="X24" s="14">
        <v>26.881720430107524</v>
      </c>
      <c r="Y24" s="5" t="s">
        <v>60</v>
      </c>
    </row>
    <row r="25" spans="1:25" x14ac:dyDescent="0.2">
      <c r="A25" s="7" t="s">
        <v>25</v>
      </c>
      <c r="B25" s="6">
        <v>22997</v>
      </c>
      <c r="C25" s="6">
        <v>3856</v>
      </c>
      <c r="E25" s="14">
        <f t="shared" si="0"/>
        <v>16.76740444405792</v>
      </c>
      <c r="F25" s="5" t="s">
        <v>60</v>
      </c>
      <c r="J25" s="320"/>
      <c r="K25" s="322"/>
      <c r="L25" s="322"/>
      <c r="M25" s="321"/>
      <c r="V25" s="5" t="s">
        <v>32</v>
      </c>
      <c r="W25" s="5">
        <v>9</v>
      </c>
      <c r="X25" s="14">
        <v>26.685393258426966</v>
      </c>
      <c r="Y25" s="5" t="s">
        <v>60</v>
      </c>
    </row>
    <row r="26" spans="1:25" x14ac:dyDescent="0.2">
      <c r="A26" s="7" t="s">
        <v>26</v>
      </c>
      <c r="B26" s="6">
        <v>34336</v>
      </c>
      <c r="C26" s="6">
        <v>6615</v>
      </c>
      <c r="E26" s="14">
        <f t="shared" si="0"/>
        <v>19.265493942218082</v>
      </c>
      <c r="F26" s="5" t="s">
        <v>60</v>
      </c>
      <c r="J26" s="68" t="s">
        <v>57</v>
      </c>
      <c r="K26" s="70">
        <f>SUM(K15:K24)</f>
        <v>100</v>
      </c>
      <c r="L26" s="36"/>
      <c r="M26" s="73">
        <f>SUM(M15:M24)-M23</f>
        <v>25.95</v>
      </c>
      <c r="V26" s="5" t="s">
        <v>44</v>
      </c>
      <c r="W26" s="5">
        <v>10</v>
      </c>
      <c r="X26" s="14">
        <v>24.738461538461539</v>
      </c>
      <c r="Y26" s="5" t="s">
        <v>60</v>
      </c>
    </row>
    <row r="27" spans="1:25" ht="15" x14ac:dyDescent="0.25">
      <c r="A27" s="7" t="s">
        <v>27</v>
      </c>
      <c r="B27" s="6">
        <v>1645</v>
      </c>
      <c r="C27" s="6">
        <v>123</v>
      </c>
      <c r="E27" s="14">
        <f t="shared" si="0"/>
        <v>7.4772036474164141</v>
      </c>
      <c r="F27" s="5" t="s">
        <v>60</v>
      </c>
      <c r="J27" s="36" t="s">
        <v>118</v>
      </c>
      <c r="K27" s="36"/>
      <c r="L27" s="36"/>
      <c r="M27" s="73">
        <f>SUM(M15:M24)</f>
        <v>30.15</v>
      </c>
      <c r="O27" s="57" t="s">
        <v>214</v>
      </c>
      <c r="V27" s="5" t="s">
        <v>42</v>
      </c>
      <c r="W27" s="5">
        <v>11</v>
      </c>
      <c r="X27" s="14">
        <v>21.772710555351232</v>
      </c>
      <c r="Y27" s="5" t="s">
        <v>60</v>
      </c>
    </row>
    <row r="28" spans="1:25" x14ac:dyDescent="0.2">
      <c r="A28" s="7" t="s">
        <v>28</v>
      </c>
      <c r="B28" s="6">
        <v>32500</v>
      </c>
      <c r="C28" s="6">
        <v>6400</v>
      </c>
      <c r="E28" s="14">
        <f t="shared" si="0"/>
        <v>19.692307692307693</v>
      </c>
      <c r="F28" s="5" t="s">
        <v>60</v>
      </c>
      <c r="V28" s="5" t="s">
        <v>28</v>
      </c>
      <c r="W28" s="5">
        <v>12</v>
      </c>
      <c r="X28" s="14">
        <v>19.692307692307693</v>
      </c>
      <c r="Y28" s="5" t="s">
        <v>60</v>
      </c>
    </row>
    <row r="29" spans="1:25" x14ac:dyDescent="0.2">
      <c r="A29" s="7" t="s">
        <v>29</v>
      </c>
      <c r="B29" s="6">
        <v>560</v>
      </c>
      <c r="C29" s="6">
        <v>63</v>
      </c>
      <c r="E29" s="14">
        <f t="shared" si="0"/>
        <v>11.25</v>
      </c>
      <c r="F29" s="5" t="s">
        <v>60</v>
      </c>
      <c r="O29" s="5" t="s">
        <v>213</v>
      </c>
      <c r="V29" s="5" t="s">
        <v>26</v>
      </c>
      <c r="W29" s="5">
        <v>13</v>
      </c>
      <c r="X29" s="14">
        <v>19.265493942218082</v>
      </c>
      <c r="Y29" s="5" t="s">
        <v>60</v>
      </c>
    </row>
    <row r="30" spans="1:25" x14ac:dyDescent="0.2">
      <c r="A30" s="7" t="s">
        <v>30</v>
      </c>
      <c r="B30" s="6">
        <v>721</v>
      </c>
      <c r="C30" s="6">
        <v>62</v>
      </c>
      <c r="E30" s="14">
        <f t="shared" si="0"/>
        <v>8.5991678224687931</v>
      </c>
      <c r="F30" s="5" t="s">
        <v>60</v>
      </c>
      <c r="J30" s="1" t="str">
        <f>CONCATENATE("Between ",ROUND(M26,0),"% and ",J38,"%")</f>
        <v>Between 26% and 50%</v>
      </c>
      <c r="K30"/>
      <c r="L30"/>
      <c r="M30"/>
      <c r="R30"/>
      <c r="S30"/>
      <c r="T30"/>
      <c r="U30"/>
      <c r="V30" s="5" t="s">
        <v>31</v>
      </c>
      <c r="W30" s="5">
        <v>14</v>
      </c>
      <c r="X30" s="14">
        <v>18.222554144884242</v>
      </c>
      <c r="Y30" s="5" t="s">
        <v>60</v>
      </c>
    </row>
    <row r="31" spans="1:25" x14ac:dyDescent="0.2">
      <c r="A31" s="7" t="s">
        <v>31</v>
      </c>
      <c r="B31" s="6">
        <v>1339</v>
      </c>
      <c r="C31" s="6">
        <v>244</v>
      </c>
      <c r="E31" s="14">
        <f t="shared" si="0"/>
        <v>18.222554144884242</v>
      </c>
      <c r="F31" s="5" t="s">
        <v>60</v>
      </c>
      <c r="J31" s="16" t="s">
        <v>209</v>
      </c>
      <c r="K31">
        <v>35</v>
      </c>
      <c r="L31" s="16" t="s">
        <v>60</v>
      </c>
      <c r="M31"/>
      <c r="N31"/>
      <c r="O31" s="5">
        <v>2020</v>
      </c>
      <c r="P31" s="5">
        <v>50</v>
      </c>
      <c r="Q31" s="5" t="s">
        <v>60</v>
      </c>
      <c r="R31"/>
      <c r="S31"/>
      <c r="T31"/>
      <c r="U31"/>
      <c r="V31" s="5" t="s">
        <v>22</v>
      </c>
      <c r="W31" s="5">
        <v>15</v>
      </c>
      <c r="X31" s="14">
        <v>17.543859649122805</v>
      </c>
      <c r="Y31" s="5" t="s">
        <v>60</v>
      </c>
    </row>
    <row r="32" spans="1:25" x14ac:dyDescent="0.2">
      <c r="A32" s="7" t="s">
        <v>32</v>
      </c>
      <c r="B32" s="6">
        <v>356</v>
      </c>
      <c r="C32" s="6">
        <v>95</v>
      </c>
      <c r="E32" s="14">
        <f t="shared" si="0"/>
        <v>26.685393258426966</v>
      </c>
      <c r="F32" s="5" t="s">
        <v>60</v>
      </c>
      <c r="J32" s="56"/>
      <c r="K32" s="72"/>
      <c r="L32"/>
      <c r="M32"/>
      <c r="N32"/>
      <c r="O32" s="5">
        <v>2025</v>
      </c>
      <c r="P32" s="5">
        <v>50</v>
      </c>
      <c r="Q32" s="5" t="s">
        <v>60</v>
      </c>
      <c r="R32"/>
      <c r="S32"/>
      <c r="T32"/>
      <c r="U32"/>
      <c r="V32" s="5" t="s">
        <v>33</v>
      </c>
      <c r="W32" s="5">
        <v>16</v>
      </c>
      <c r="X32" s="14">
        <v>17.169860855867682</v>
      </c>
      <c r="Y32" s="5" t="s">
        <v>60</v>
      </c>
    </row>
    <row r="33" spans="1:25" x14ac:dyDescent="0.2">
      <c r="A33" s="7" t="s">
        <v>33</v>
      </c>
      <c r="B33" s="6">
        <v>3809</v>
      </c>
      <c r="C33" s="6">
        <v>654</v>
      </c>
      <c r="E33" s="14">
        <f t="shared" si="0"/>
        <v>17.169860855867682</v>
      </c>
      <c r="F33" s="5" t="s">
        <v>60</v>
      </c>
      <c r="L33"/>
      <c r="M33"/>
      <c r="N33"/>
      <c r="O33" s="5">
        <v>2030</v>
      </c>
      <c r="P33" s="5">
        <v>50</v>
      </c>
      <c r="Q33" s="5" t="s">
        <v>60</v>
      </c>
      <c r="R33"/>
      <c r="S33"/>
      <c r="T33"/>
      <c r="U33"/>
      <c r="V33" s="5" t="s">
        <v>25</v>
      </c>
      <c r="W33" s="5">
        <v>17</v>
      </c>
      <c r="X33" s="14">
        <v>16.76740444405792</v>
      </c>
      <c r="Y33" s="5" t="s">
        <v>60</v>
      </c>
    </row>
    <row r="34" spans="1:25" x14ac:dyDescent="0.2">
      <c r="A34" s="7" t="s">
        <v>34</v>
      </c>
      <c r="B34" s="6">
        <v>243</v>
      </c>
      <c r="C34" s="6">
        <v>15</v>
      </c>
      <c r="E34" s="14">
        <f t="shared" si="0"/>
        <v>6.1728395061728394</v>
      </c>
      <c r="F34" s="5" t="s">
        <v>60</v>
      </c>
      <c r="L34"/>
      <c r="M34"/>
      <c r="N34"/>
      <c r="O34"/>
      <c r="P34"/>
      <c r="Q34"/>
      <c r="R34"/>
      <c r="S34"/>
      <c r="T34"/>
      <c r="U34"/>
      <c r="V34" s="5" t="s">
        <v>24</v>
      </c>
      <c r="W34" s="5">
        <v>18</v>
      </c>
      <c r="X34" s="14">
        <v>14.981273408239701</v>
      </c>
      <c r="Y34" s="5" t="s">
        <v>60</v>
      </c>
    </row>
    <row r="35" spans="1:25" x14ac:dyDescent="0.2">
      <c r="A35" s="7" t="s">
        <v>35</v>
      </c>
      <c r="B35" s="6">
        <v>9947</v>
      </c>
      <c r="C35" s="6">
        <v>2724</v>
      </c>
      <c r="E35" s="14">
        <f t="shared" si="0"/>
        <v>27.385141248617671</v>
      </c>
      <c r="F35" s="5" t="s">
        <v>60</v>
      </c>
      <c r="L35"/>
      <c r="M35"/>
      <c r="N35"/>
      <c r="O35"/>
      <c r="P35"/>
      <c r="Q35"/>
      <c r="R35"/>
      <c r="S35"/>
      <c r="T35"/>
      <c r="U35"/>
      <c r="V35" s="5" t="s">
        <v>20</v>
      </c>
      <c r="W35" s="5">
        <v>19</v>
      </c>
      <c r="X35" s="14">
        <v>14.770696843359143</v>
      </c>
      <c r="Y35" s="5" t="s">
        <v>60</v>
      </c>
    </row>
    <row r="36" spans="1:25" ht="15" x14ac:dyDescent="0.25">
      <c r="A36" s="7" t="s">
        <v>36</v>
      </c>
      <c r="B36" s="6">
        <v>4650</v>
      </c>
      <c r="C36" s="6">
        <v>1250</v>
      </c>
      <c r="E36" s="14">
        <f t="shared" si="0"/>
        <v>26.881720430107524</v>
      </c>
      <c r="F36" s="5" t="s">
        <v>60</v>
      </c>
      <c r="J36" s="57" t="s">
        <v>206</v>
      </c>
      <c r="L36"/>
      <c r="M36"/>
      <c r="N36"/>
      <c r="O36" s="148" t="s">
        <v>215</v>
      </c>
      <c r="P36"/>
      <c r="Q36"/>
      <c r="R36"/>
      <c r="S36"/>
      <c r="T36"/>
      <c r="U36"/>
      <c r="V36" s="5" t="s">
        <v>38</v>
      </c>
      <c r="W36" s="5">
        <v>20</v>
      </c>
      <c r="X36" s="14">
        <v>11.539209963027826</v>
      </c>
      <c r="Y36" s="5" t="s">
        <v>60</v>
      </c>
    </row>
    <row r="37" spans="1:25" x14ac:dyDescent="0.2">
      <c r="A37" s="7" t="s">
        <v>37</v>
      </c>
      <c r="B37" s="6">
        <v>12129</v>
      </c>
      <c r="C37" s="6">
        <v>1118</v>
      </c>
      <c r="E37" s="14">
        <f t="shared" si="0"/>
        <v>9.2175777063236879</v>
      </c>
      <c r="F37" s="5" t="s">
        <v>60</v>
      </c>
      <c r="L37"/>
      <c r="M37"/>
      <c r="N37"/>
      <c r="O37"/>
      <c r="P37"/>
      <c r="Q37"/>
      <c r="R37"/>
      <c r="S37"/>
      <c r="T37"/>
      <c r="U37"/>
      <c r="V37" s="5" t="s">
        <v>29</v>
      </c>
      <c r="W37" s="5">
        <v>21</v>
      </c>
      <c r="X37" s="14">
        <v>11.25</v>
      </c>
      <c r="Y37" s="5" t="s">
        <v>60</v>
      </c>
    </row>
    <row r="38" spans="1:25" x14ac:dyDescent="0.2">
      <c r="A38" s="7" t="s">
        <v>38</v>
      </c>
      <c r="B38" s="6">
        <v>5139</v>
      </c>
      <c r="C38" s="6">
        <v>593</v>
      </c>
      <c r="E38" s="14">
        <f t="shared" si="0"/>
        <v>11.539209963027826</v>
      </c>
      <c r="F38" s="5" t="s">
        <v>60</v>
      </c>
      <c r="J38" s="5">
        <v>50</v>
      </c>
      <c r="K38" s="5" t="s">
        <v>60</v>
      </c>
      <c r="L38" t="s">
        <v>207</v>
      </c>
      <c r="M38"/>
      <c r="N38"/>
      <c r="O38" s="16" t="s">
        <v>216</v>
      </c>
      <c r="P38"/>
      <c r="Q38"/>
      <c r="R38"/>
      <c r="S38"/>
      <c r="T38"/>
      <c r="U38"/>
      <c r="V38" s="5" t="s">
        <v>37</v>
      </c>
      <c r="W38" s="5">
        <v>22</v>
      </c>
      <c r="X38" s="14">
        <v>9.2175777063236879</v>
      </c>
      <c r="Y38" s="5" t="s">
        <v>60</v>
      </c>
    </row>
    <row r="39" spans="1:25" x14ac:dyDescent="0.2">
      <c r="A39" s="7" t="s">
        <v>39</v>
      </c>
      <c r="B39" s="6">
        <v>7800</v>
      </c>
      <c r="C39" s="6">
        <v>80</v>
      </c>
      <c r="E39" s="14">
        <f t="shared" si="0"/>
        <v>1.0256410256410255</v>
      </c>
      <c r="F39" s="5" t="s">
        <v>60</v>
      </c>
      <c r="J39" s="56"/>
      <c r="K39" s="56"/>
      <c r="L39" s="56"/>
      <c r="M39"/>
      <c r="N39"/>
      <c r="O39"/>
      <c r="P39"/>
      <c r="Q39"/>
      <c r="R39"/>
      <c r="S39"/>
      <c r="T39"/>
      <c r="U39"/>
      <c r="V39" s="5" t="s">
        <v>30</v>
      </c>
      <c r="W39" s="5">
        <v>23</v>
      </c>
      <c r="X39" s="14">
        <v>8.5991678224687931</v>
      </c>
      <c r="Y39" s="5" t="s">
        <v>60</v>
      </c>
    </row>
    <row r="40" spans="1:25" x14ac:dyDescent="0.2">
      <c r="A40" s="7" t="s">
        <v>40</v>
      </c>
      <c r="B40" s="6">
        <v>844</v>
      </c>
      <c r="C40" s="6">
        <v>243</v>
      </c>
      <c r="E40" s="14">
        <f t="shared" si="0"/>
        <v>28.791469194312796</v>
      </c>
      <c r="F40" s="5" t="s">
        <v>60</v>
      </c>
      <c r="J40" s="56"/>
      <c r="K40" s="56"/>
      <c r="L40" s="56"/>
      <c r="M40"/>
      <c r="N40" s="74"/>
      <c r="O40" s="16">
        <v>2020</v>
      </c>
      <c r="P40" s="16">
        <f>MAX(P13,P22,P31)</f>
        <v>50</v>
      </c>
      <c r="Q40" s="16" t="s">
        <v>60</v>
      </c>
      <c r="R40" s="16"/>
      <c r="S40" s="16"/>
      <c r="T40" s="16"/>
      <c r="U40" s="16"/>
      <c r="V40" s="5" t="s">
        <v>27</v>
      </c>
      <c r="W40" s="5">
        <v>24</v>
      </c>
      <c r="X40" s="14">
        <v>7.4772036474164141</v>
      </c>
      <c r="Y40" s="5" t="s">
        <v>60</v>
      </c>
    </row>
    <row r="41" spans="1:25" x14ac:dyDescent="0.2">
      <c r="A41" s="7" t="s">
        <v>41</v>
      </c>
      <c r="B41" s="6">
        <v>1767</v>
      </c>
      <c r="C41" s="6">
        <v>78</v>
      </c>
      <c r="E41" s="14">
        <f t="shared" si="0"/>
        <v>4.4142614601018675</v>
      </c>
      <c r="F41" s="5" t="s">
        <v>60</v>
      </c>
      <c r="J41" s="56"/>
      <c r="K41" s="56"/>
      <c r="L41" s="56"/>
      <c r="M41"/>
      <c r="N41" s="74"/>
      <c r="O41" s="16">
        <v>2025</v>
      </c>
      <c r="P41" s="16">
        <f t="shared" ref="P41:P42" si="3">MAX(P14,P23,P32)</f>
        <v>60</v>
      </c>
      <c r="Q41" s="16" t="s">
        <v>60</v>
      </c>
      <c r="R41" s="16"/>
      <c r="S41" s="16"/>
      <c r="T41" s="16"/>
      <c r="U41" s="16"/>
      <c r="V41" s="5" t="s">
        <v>34</v>
      </c>
      <c r="W41" s="5">
        <v>25</v>
      </c>
      <c r="X41" s="14">
        <v>6.1728395061728394</v>
      </c>
      <c r="Y41" s="5" t="s">
        <v>60</v>
      </c>
    </row>
    <row r="42" spans="1:25" x14ac:dyDescent="0.2">
      <c r="A42" s="7" t="s">
        <v>42</v>
      </c>
      <c r="B42" s="6">
        <v>2719</v>
      </c>
      <c r="C42" s="6">
        <v>592</v>
      </c>
      <c r="E42" s="14">
        <f t="shared" si="0"/>
        <v>21.772710555351232</v>
      </c>
      <c r="F42" s="5" t="s">
        <v>60</v>
      </c>
      <c r="J42"/>
      <c r="K42"/>
      <c r="L42"/>
      <c r="M42"/>
      <c r="O42">
        <v>2030</v>
      </c>
      <c r="P42" s="16">
        <f t="shared" si="3"/>
        <v>70</v>
      </c>
      <c r="Q42" s="16" t="s">
        <v>60</v>
      </c>
      <c r="R42"/>
      <c r="S42"/>
      <c r="T42"/>
      <c r="U42"/>
      <c r="V42" s="5" t="s">
        <v>41</v>
      </c>
      <c r="W42" s="5">
        <v>26</v>
      </c>
      <c r="X42" s="14">
        <v>4.4142614601018675</v>
      </c>
      <c r="Y42" s="5" t="s">
        <v>60</v>
      </c>
    </row>
    <row r="43" spans="1:25" x14ac:dyDescent="0.2">
      <c r="A43" s="7" t="s">
        <v>43</v>
      </c>
      <c r="B43" s="6">
        <v>4350</v>
      </c>
      <c r="C43" s="6">
        <v>1426</v>
      </c>
      <c r="E43" s="14">
        <f t="shared" si="0"/>
        <v>32.781609195402304</v>
      </c>
      <c r="F43" s="5" t="s">
        <v>60</v>
      </c>
      <c r="N43"/>
      <c r="V43" s="5" t="s">
        <v>19</v>
      </c>
      <c r="W43" s="5">
        <v>27</v>
      </c>
      <c r="X43" s="14">
        <v>2.7606247729749365</v>
      </c>
      <c r="Y43" s="5" t="s">
        <v>60</v>
      </c>
    </row>
    <row r="44" spans="1:25" x14ac:dyDescent="0.2">
      <c r="A44" s="7" t="s">
        <v>44</v>
      </c>
      <c r="B44" s="6">
        <v>32500</v>
      </c>
      <c r="C44" s="6">
        <v>8040</v>
      </c>
      <c r="E44" s="14">
        <f t="shared" si="0"/>
        <v>24.738461538461539</v>
      </c>
      <c r="F44" s="5" t="s">
        <v>60</v>
      </c>
      <c r="V44" s="5" t="s">
        <v>39</v>
      </c>
      <c r="W44" s="5">
        <v>28</v>
      </c>
      <c r="X44" s="14">
        <v>1.0256410256410255</v>
      </c>
      <c r="Y44" s="5" t="s">
        <v>60</v>
      </c>
    </row>
    <row r="51" spans="1:6" ht="15" x14ac:dyDescent="0.25">
      <c r="A51" s="146" t="s">
        <v>156</v>
      </c>
      <c r="B51" s="12"/>
      <c r="C51" s="130"/>
      <c r="D51" s="130"/>
      <c r="E51" s="130"/>
      <c r="F51" s="130"/>
    </row>
    <row r="52" spans="1:6" x14ac:dyDescent="0.2">
      <c r="A52" s="130"/>
      <c r="B52" s="130"/>
      <c r="C52" s="130"/>
      <c r="D52" s="130"/>
      <c r="E52" s="130"/>
      <c r="F52" s="130"/>
    </row>
    <row r="53" spans="1:6" x14ac:dyDescent="0.2">
      <c r="A53" s="140" t="s">
        <v>0</v>
      </c>
      <c r="B53" s="132"/>
      <c r="C53" s="132"/>
      <c r="D53" s="132"/>
      <c r="E53" s="132"/>
      <c r="F53" s="132"/>
    </row>
    <row r="54" spans="1:6" x14ac:dyDescent="0.2">
      <c r="A54" s="132"/>
      <c r="B54" s="132"/>
      <c r="C54" s="132"/>
      <c r="D54" s="132"/>
      <c r="E54" s="132"/>
      <c r="F54" s="132"/>
    </row>
    <row r="55" spans="1:6" x14ac:dyDescent="0.2">
      <c r="A55" s="140" t="s">
        <v>1</v>
      </c>
      <c r="B55" s="141">
        <v>41459.631990740745</v>
      </c>
      <c r="C55" s="132"/>
      <c r="D55" s="132"/>
      <c r="E55" s="132"/>
      <c r="F55" s="132"/>
    </row>
    <row r="56" spans="1:6" x14ac:dyDescent="0.2">
      <c r="A56" s="140" t="s">
        <v>2</v>
      </c>
      <c r="B56" s="141">
        <v>41610.67855488426</v>
      </c>
      <c r="C56" s="132"/>
      <c r="D56" s="132"/>
      <c r="E56" s="132"/>
      <c r="F56" s="132"/>
    </row>
    <row r="57" spans="1:6" x14ac:dyDescent="0.2">
      <c r="A57" s="140" t="s">
        <v>3</v>
      </c>
      <c r="B57" s="140" t="s">
        <v>4</v>
      </c>
      <c r="C57" s="132"/>
      <c r="D57" s="132"/>
      <c r="E57" s="132"/>
      <c r="F57" s="132"/>
    </row>
    <row r="58" spans="1:6" x14ac:dyDescent="0.2">
      <c r="A58" s="132"/>
      <c r="B58" s="132"/>
      <c r="C58" s="132"/>
      <c r="D58" s="132"/>
      <c r="E58" s="132"/>
      <c r="F58" s="132"/>
    </row>
    <row r="59" spans="1:6" x14ac:dyDescent="0.2">
      <c r="A59" s="140" t="s">
        <v>7</v>
      </c>
      <c r="B59" s="140" t="s">
        <v>46</v>
      </c>
      <c r="C59" s="132"/>
      <c r="D59" s="132"/>
      <c r="E59" s="132"/>
      <c r="F59" s="132"/>
    </row>
    <row r="60" spans="1:6" x14ac:dyDescent="0.2">
      <c r="A60" s="140" t="s">
        <v>56</v>
      </c>
      <c r="B60" s="140" t="s">
        <v>15</v>
      </c>
      <c r="C60" s="132"/>
      <c r="D60" s="132"/>
      <c r="E60" s="132"/>
      <c r="F60" s="132"/>
    </row>
    <row r="61" spans="1:6" x14ac:dyDescent="0.2">
      <c r="A61" s="132"/>
      <c r="B61" s="132"/>
      <c r="C61" s="132"/>
      <c r="D61" s="132"/>
      <c r="E61" s="132"/>
      <c r="F61" s="132"/>
    </row>
    <row r="62" spans="1:6" x14ac:dyDescent="0.2">
      <c r="A62" s="142" t="s">
        <v>116</v>
      </c>
      <c r="B62" s="142" t="s">
        <v>6</v>
      </c>
      <c r="C62" s="142" t="s">
        <v>117</v>
      </c>
      <c r="D62" s="132"/>
      <c r="E62" s="132"/>
      <c r="F62" s="132"/>
    </row>
    <row r="63" spans="1:6" x14ac:dyDescent="0.2">
      <c r="A63" s="142" t="s">
        <v>16</v>
      </c>
      <c r="B63" s="143">
        <v>253249</v>
      </c>
      <c r="C63" s="143">
        <v>35115</v>
      </c>
      <c r="D63" s="132"/>
      <c r="E63" s="144">
        <f>C63/B63*100</f>
        <v>13.865800062389191</v>
      </c>
      <c r="F63" s="145" t="s">
        <v>60</v>
      </c>
    </row>
    <row r="64" spans="1:6" x14ac:dyDescent="0.2">
      <c r="A64" s="142" t="s">
        <v>17</v>
      </c>
      <c r="B64" s="143">
        <v>251604</v>
      </c>
      <c r="C64" s="143">
        <v>35101</v>
      </c>
      <c r="D64" s="132"/>
      <c r="E64" s="144">
        <f>C64/B64*100</f>
        <v>13.950891082812674</v>
      </c>
      <c r="F64" s="145" t="s">
        <v>60</v>
      </c>
    </row>
    <row r="65" spans="1:6" x14ac:dyDescent="0.2">
      <c r="A65" s="132"/>
      <c r="B65" s="132"/>
      <c r="C65" s="132"/>
      <c r="D65" s="132"/>
      <c r="E65" s="132"/>
      <c r="F65" s="132"/>
    </row>
  </sheetData>
  <sortState ref="V13:X40">
    <sortCondition ref="W13:W40"/>
  </sortState>
  <mergeCells count="5">
    <mergeCell ref="J14:K14"/>
    <mergeCell ref="J25:M25"/>
    <mergeCell ref="J13:M13"/>
    <mergeCell ref="L15:L18"/>
    <mergeCell ref="M15:M18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6"/>
  <sheetViews>
    <sheetView showGridLines="0" topLeftCell="A67" zoomScaleNormal="100" workbookViewId="0">
      <selection activeCell="F78" sqref="F78"/>
    </sheetView>
  </sheetViews>
  <sheetFormatPr defaultRowHeight="14.25" x14ac:dyDescent="0.2"/>
  <cols>
    <col min="1" max="1" width="21.125" style="5" customWidth="1"/>
    <col min="2" max="2" width="17.875" style="5" customWidth="1"/>
    <col min="3" max="8" width="14.875" style="5" customWidth="1"/>
    <col min="9" max="9" width="5" style="5" customWidth="1"/>
    <col min="10" max="10" width="26.125" style="5" bestFit="1" customWidth="1"/>
    <col min="11" max="14" width="13.375" style="5" customWidth="1"/>
    <col min="15" max="17" width="9" style="5"/>
    <col min="18" max="18" width="26.125" style="5" bestFit="1" customWidth="1"/>
    <col min="19" max="19" width="16.875" style="5" customWidth="1"/>
    <col min="20" max="23" width="9.875" style="5" bestFit="1" customWidth="1"/>
    <col min="24" max="24" width="9.875" style="5" customWidth="1"/>
    <col min="25" max="25" width="9.875" style="5" bestFit="1" customWidth="1"/>
    <col min="26" max="28" width="9" style="5"/>
    <col min="29" max="29" width="9.875" style="5" bestFit="1" customWidth="1"/>
    <col min="30" max="35" width="9" style="5"/>
    <col min="36" max="36" width="18" style="5" bestFit="1" customWidth="1"/>
    <col min="37" max="38" width="10.875" style="5" bestFit="1" customWidth="1"/>
    <col min="39" max="39" width="14.875" style="5" bestFit="1" customWidth="1"/>
    <col min="40" max="40" width="9.875" style="5" bestFit="1" customWidth="1"/>
    <col min="41" max="42" width="10.875" style="5" bestFit="1" customWidth="1"/>
    <col min="43" max="43" width="9" style="5"/>
    <col min="44" max="44" width="9.875" style="5" bestFit="1" customWidth="1"/>
    <col min="45" max="45" width="10.5" style="5" customWidth="1"/>
    <col min="46" max="46" width="12.25" style="5" customWidth="1"/>
    <col min="47" max="47" width="9.875" style="5" bestFit="1" customWidth="1"/>
    <col min="48" max="48" width="10.875" style="5" bestFit="1" customWidth="1"/>
    <col min="49" max="16384" width="9" style="5"/>
  </cols>
  <sheetData>
    <row r="2" spans="1:35" ht="20.25" x14ac:dyDescent="0.3">
      <c r="A2" s="211" t="s">
        <v>219</v>
      </c>
      <c r="B2" s="17"/>
      <c r="C2" s="17"/>
    </row>
    <row r="4" spans="1:35" ht="15" x14ac:dyDescent="0.25">
      <c r="A4" s="57" t="s">
        <v>159</v>
      </c>
      <c r="H4" s="117" t="s">
        <v>160</v>
      </c>
      <c r="J4" s="57" t="s">
        <v>161</v>
      </c>
      <c r="Q4" s="117" t="s">
        <v>155</v>
      </c>
      <c r="T4" s="57" t="s">
        <v>163</v>
      </c>
      <c r="AD4" s="57" t="s">
        <v>220</v>
      </c>
    </row>
    <row r="5" spans="1:35" ht="15" x14ac:dyDescent="0.25">
      <c r="A5" s="57"/>
      <c r="T5" s="5" t="s">
        <v>162</v>
      </c>
    </row>
    <row r="6" spans="1:35" x14ac:dyDescent="0.2">
      <c r="A6" s="10" t="s">
        <v>129</v>
      </c>
    </row>
    <row r="8" spans="1:35" x14ac:dyDescent="0.2">
      <c r="A8" s="10" t="s">
        <v>1</v>
      </c>
      <c r="B8" s="11">
        <v>41480.611296296294</v>
      </c>
    </row>
    <row r="9" spans="1:35" x14ac:dyDescent="0.2">
      <c r="A9" s="10" t="s">
        <v>2</v>
      </c>
      <c r="B9" s="11">
        <v>41610.781158715276</v>
      </c>
      <c r="G9" s="17"/>
      <c r="H9" s="17"/>
      <c r="I9" s="17"/>
    </row>
    <row r="10" spans="1:35" x14ac:dyDescent="0.2">
      <c r="A10" s="10" t="s">
        <v>3</v>
      </c>
      <c r="B10" s="10" t="s">
        <v>4</v>
      </c>
    </row>
    <row r="12" spans="1:35" x14ac:dyDescent="0.2">
      <c r="A12" s="10" t="s">
        <v>7</v>
      </c>
      <c r="B12" s="10" t="s">
        <v>49</v>
      </c>
    </row>
    <row r="13" spans="1:35" x14ac:dyDescent="0.2">
      <c r="A13" s="10" t="s">
        <v>58</v>
      </c>
      <c r="B13" s="10" t="s">
        <v>57</v>
      </c>
    </row>
    <row r="14" spans="1:35" x14ac:dyDescent="0.2">
      <c r="A14" s="10" t="s">
        <v>128</v>
      </c>
      <c r="B14" s="10" t="s">
        <v>127</v>
      </c>
    </row>
    <row r="16" spans="1:35" ht="111.75" x14ac:dyDescent="0.2">
      <c r="A16" s="7" t="s">
        <v>53</v>
      </c>
      <c r="B16" s="13" t="s">
        <v>126</v>
      </c>
      <c r="C16" s="13" t="s">
        <v>125</v>
      </c>
      <c r="D16" s="13" t="s">
        <v>124</v>
      </c>
      <c r="E16" s="13" t="s">
        <v>123</v>
      </c>
      <c r="F16" s="13" t="s">
        <v>122</v>
      </c>
      <c r="G16" s="13" t="s">
        <v>165</v>
      </c>
      <c r="H16" s="13" t="s">
        <v>55</v>
      </c>
      <c r="J16" s="36"/>
      <c r="K16" s="76" t="str">
        <f>B16</f>
        <v>Metallic wastes</v>
      </c>
      <c r="L16" s="76" t="str">
        <f>C16</f>
        <v>Glass wastes</v>
      </c>
      <c r="M16" s="76" t="str">
        <f>D16</f>
        <v>Paper and cardboard wastes</v>
      </c>
      <c r="N16" s="76" t="str">
        <f>E16</f>
        <v>Plastic wastes</v>
      </c>
      <c r="O16" s="212" t="s">
        <v>166</v>
      </c>
      <c r="P16" s="215"/>
      <c r="Q16" s="63"/>
      <c r="R16" s="64"/>
      <c r="S16" s="78" t="s">
        <v>134</v>
      </c>
      <c r="T16" s="84" t="s">
        <v>130</v>
      </c>
      <c r="U16" s="85" t="s">
        <v>131</v>
      </c>
      <c r="V16" s="85" t="s">
        <v>132</v>
      </c>
      <c r="W16" s="85" t="s">
        <v>133</v>
      </c>
      <c r="X16" s="223" t="s">
        <v>167</v>
      </c>
      <c r="Y16" s="52" t="str">
        <f>T16</f>
        <v>paper</v>
      </c>
      <c r="Z16" s="54" t="str">
        <f>U16</f>
        <v>metals</v>
      </c>
      <c r="AA16" s="54" t="str">
        <f>V16</f>
        <v>plastics</v>
      </c>
      <c r="AB16" s="54" t="str">
        <f>W16</f>
        <v>glass</v>
      </c>
      <c r="AC16" s="219" t="s">
        <v>167</v>
      </c>
      <c r="AD16" s="52" t="str">
        <f>Y16</f>
        <v>paper</v>
      </c>
      <c r="AE16" s="54" t="str">
        <f>Z16</f>
        <v>metals</v>
      </c>
      <c r="AF16" s="54" t="str">
        <f>AA16</f>
        <v>plastics</v>
      </c>
      <c r="AG16" s="54" t="str">
        <f>AB16</f>
        <v>glass</v>
      </c>
      <c r="AH16" s="219" t="s">
        <v>167</v>
      </c>
      <c r="AI16" s="63"/>
    </row>
    <row r="17" spans="1:42" ht="27.75" customHeight="1" x14ac:dyDescent="0.25">
      <c r="A17" s="7" t="s">
        <v>8</v>
      </c>
      <c r="B17" s="7" t="s">
        <v>14</v>
      </c>
      <c r="C17" s="7" t="s">
        <v>14</v>
      </c>
      <c r="D17" s="7" t="s">
        <v>14</v>
      </c>
      <c r="E17" s="7" t="s">
        <v>14</v>
      </c>
      <c r="F17" s="7" t="s">
        <v>14</v>
      </c>
      <c r="G17" s="7">
        <v>2010</v>
      </c>
      <c r="H17" s="7" t="s">
        <v>14</v>
      </c>
      <c r="J17" s="36"/>
      <c r="K17" s="333" t="s">
        <v>121</v>
      </c>
      <c r="L17" s="334"/>
      <c r="M17" s="334"/>
      <c r="N17" s="334"/>
      <c r="O17" s="335"/>
      <c r="P17" s="216"/>
      <c r="R17" s="51"/>
      <c r="S17" s="90" t="str">
        <f>H16</f>
        <v>Waste excluding major mineral wastes</v>
      </c>
      <c r="T17" s="91">
        <v>0.2</v>
      </c>
      <c r="U17" s="92">
        <v>0.06</v>
      </c>
      <c r="V17" s="92">
        <v>0.14000000000000001</v>
      </c>
      <c r="W17" s="92">
        <v>0.08</v>
      </c>
      <c r="X17" s="224">
        <v>0.3</v>
      </c>
      <c r="Y17" s="336" t="s">
        <v>61</v>
      </c>
      <c r="Z17" s="337"/>
      <c r="AA17" s="337"/>
      <c r="AB17" s="337"/>
      <c r="AC17" s="338"/>
      <c r="AD17" s="342" t="s">
        <v>60</v>
      </c>
      <c r="AE17" s="343"/>
      <c r="AF17" s="343"/>
      <c r="AG17" s="343"/>
      <c r="AH17" s="344"/>
      <c r="AI17" s="97"/>
      <c r="AJ17" s="57" t="s">
        <v>221</v>
      </c>
    </row>
    <row r="18" spans="1:42" x14ac:dyDescent="0.2">
      <c r="A18" s="7" t="s">
        <v>16</v>
      </c>
      <c r="B18" s="6">
        <v>3120000</v>
      </c>
      <c r="C18" s="6">
        <v>8960000</v>
      </c>
      <c r="D18" s="6">
        <v>17180000</v>
      </c>
      <c r="E18" s="6">
        <v>2120000</v>
      </c>
      <c r="F18" s="6">
        <v>138260000</v>
      </c>
      <c r="G18" s="6">
        <v>26130000</v>
      </c>
      <c r="H18" s="6">
        <v>212050000</v>
      </c>
      <c r="J18" s="36" t="str">
        <f t="shared" ref="J18:J29" si="0">A18</f>
        <v>European Union (28 countries)</v>
      </c>
      <c r="K18" s="213">
        <f>B18/$H18*100</f>
        <v>1.4713510964395189</v>
      </c>
      <c r="L18" s="213">
        <f t="shared" ref="L18:L29" si="1">C18/$H18*100</f>
        <v>4.2254185333647731</v>
      </c>
      <c r="M18" s="213">
        <f t="shared" ref="M18:M29" si="2">D18/$H18*100</f>
        <v>8.1018627682150441</v>
      </c>
      <c r="N18" s="213">
        <f t="shared" ref="N18:N29" si="3">E18/$H18*100</f>
        <v>0.99976420655505782</v>
      </c>
      <c r="O18" s="214">
        <f>G18/H18*100</f>
        <v>12.322565432680971</v>
      </c>
      <c r="P18" s="217"/>
      <c r="R18" s="79"/>
      <c r="S18" s="79"/>
      <c r="T18" s="339" t="s">
        <v>135</v>
      </c>
      <c r="U18" s="340"/>
      <c r="V18" s="340"/>
      <c r="W18" s="340"/>
      <c r="X18" s="341"/>
      <c r="Y18" s="339" t="s">
        <v>136</v>
      </c>
      <c r="Z18" s="340"/>
      <c r="AA18" s="340"/>
      <c r="AB18" s="340"/>
      <c r="AC18" s="341"/>
      <c r="AD18" s="339" t="s">
        <v>137</v>
      </c>
      <c r="AE18" s="340"/>
      <c r="AF18" s="340"/>
      <c r="AG18" s="340"/>
      <c r="AH18" s="341"/>
      <c r="AI18" s="98"/>
    </row>
    <row r="19" spans="1:42" x14ac:dyDescent="0.2">
      <c r="A19" s="7" t="s">
        <v>17</v>
      </c>
      <c r="B19" s="6">
        <v>3120000</v>
      </c>
      <c r="C19" s="6">
        <v>8960000</v>
      </c>
      <c r="D19" s="6">
        <v>17180000</v>
      </c>
      <c r="E19" s="6">
        <v>2120000</v>
      </c>
      <c r="F19" s="6">
        <v>138260000</v>
      </c>
      <c r="G19" s="6">
        <v>26130000</v>
      </c>
      <c r="H19" s="6">
        <v>212050000</v>
      </c>
      <c r="J19" s="36" t="str">
        <f t="shared" si="0"/>
        <v>European Union (27 countries)</v>
      </c>
      <c r="K19" s="39">
        <f t="shared" ref="K19:K29" si="4">B19/$H19*100</f>
        <v>1.4713510964395189</v>
      </c>
      <c r="L19" s="39">
        <f t="shared" si="1"/>
        <v>4.2254185333647731</v>
      </c>
      <c r="M19" s="39">
        <f t="shared" si="2"/>
        <v>8.1018627682150441</v>
      </c>
      <c r="N19" s="39">
        <f t="shared" si="3"/>
        <v>0.99976420655505782</v>
      </c>
      <c r="O19" s="214">
        <f t="shared" ref="O19:O47" si="5">G19/H19*100</f>
        <v>12.322565432680971</v>
      </c>
      <c r="P19" s="217"/>
      <c r="R19" s="68" t="str">
        <f t="shared" ref="R19:R29" si="6">J19</f>
        <v>European Union (27 countries)</v>
      </c>
      <c r="S19" s="77">
        <f t="shared" ref="S19:S29" si="7">H19</f>
        <v>212050000</v>
      </c>
      <c r="T19" s="225">
        <f t="shared" ref="T19:X46" si="8">$S19*T$17</f>
        <v>42410000</v>
      </c>
      <c r="U19" s="226">
        <f t="shared" si="8"/>
        <v>12723000</v>
      </c>
      <c r="V19" s="226">
        <f t="shared" si="8"/>
        <v>29687000.000000004</v>
      </c>
      <c r="W19" s="226">
        <f t="shared" si="8"/>
        <v>16964000</v>
      </c>
      <c r="X19" s="227">
        <f>$S19*X$17</f>
        <v>63615000</v>
      </c>
      <c r="Y19" s="225">
        <f t="shared" ref="Y19:Y21" si="9">D19</f>
        <v>17180000</v>
      </c>
      <c r="Z19" s="226">
        <f t="shared" ref="Z19:Z21" si="10">B19</f>
        <v>3120000</v>
      </c>
      <c r="AA19" s="226">
        <f t="shared" ref="AA19:AA21" si="11">E19</f>
        <v>2120000</v>
      </c>
      <c r="AB19" s="226">
        <f t="shared" ref="AB19:AB29" si="12">C19</f>
        <v>8960000</v>
      </c>
      <c r="AC19" s="227">
        <f>G19</f>
        <v>26130000</v>
      </c>
      <c r="AD19" s="228">
        <f>Y19/T19*100</f>
        <v>40.509313841075219</v>
      </c>
      <c r="AE19" s="229">
        <f>Z19/U19*100</f>
        <v>24.522518273991984</v>
      </c>
      <c r="AF19" s="229">
        <f>AA19/V19*100</f>
        <v>7.1411729039646969</v>
      </c>
      <c r="AG19" s="229">
        <f>AB19/W19*100</f>
        <v>52.817731667059654</v>
      </c>
      <c r="AH19" s="230">
        <f>AC19/X19*100</f>
        <v>41.075218108936575</v>
      </c>
      <c r="AI19" s="94"/>
      <c r="AJ19" s="5" t="s">
        <v>130</v>
      </c>
      <c r="AK19" s="14">
        <f>AD19</f>
        <v>40.509313841075219</v>
      </c>
      <c r="AL19" s="5" t="s">
        <v>60</v>
      </c>
    </row>
    <row r="20" spans="1:42" x14ac:dyDescent="0.2">
      <c r="A20" s="7" t="s">
        <v>18</v>
      </c>
      <c r="B20" s="6">
        <v>87728</v>
      </c>
      <c r="C20" s="6">
        <v>283903</v>
      </c>
      <c r="D20" s="6">
        <v>678361</v>
      </c>
      <c r="E20" s="6">
        <v>101598</v>
      </c>
      <c r="F20" s="6">
        <v>330845</v>
      </c>
      <c r="G20" s="6">
        <v>964447</v>
      </c>
      <c r="H20" s="6">
        <v>4084689</v>
      </c>
      <c r="J20" s="36" t="str">
        <f t="shared" si="0"/>
        <v>Belgium</v>
      </c>
      <c r="K20" s="39">
        <f t="shared" si="4"/>
        <v>2.147727770706656</v>
      </c>
      <c r="L20" s="39">
        <f t="shared" si="1"/>
        <v>6.9504189915070649</v>
      </c>
      <c r="M20" s="39">
        <f t="shared" si="2"/>
        <v>16.607408789261559</v>
      </c>
      <c r="N20" s="39">
        <f t="shared" si="3"/>
        <v>2.4872885059303167</v>
      </c>
      <c r="O20" s="214">
        <f t="shared" si="5"/>
        <v>23.61127126202264</v>
      </c>
      <c r="P20" s="217"/>
      <c r="R20" s="80" t="str">
        <f t="shared" si="6"/>
        <v>Belgium</v>
      </c>
      <c r="S20" s="82">
        <f t="shared" si="7"/>
        <v>4084689</v>
      </c>
      <c r="T20" s="86">
        <f t="shared" si="8"/>
        <v>816937.8</v>
      </c>
      <c r="U20" s="87">
        <f t="shared" si="8"/>
        <v>245081.34</v>
      </c>
      <c r="V20" s="87">
        <f t="shared" si="8"/>
        <v>571856.46000000008</v>
      </c>
      <c r="W20" s="87">
        <f t="shared" si="8"/>
        <v>326775.12</v>
      </c>
      <c r="X20" s="218">
        <f t="shared" si="8"/>
        <v>1225406.7</v>
      </c>
      <c r="Y20" s="86">
        <f t="shared" si="9"/>
        <v>678361</v>
      </c>
      <c r="Z20" s="87">
        <f t="shared" si="10"/>
        <v>87728</v>
      </c>
      <c r="AA20" s="87">
        <f t="shared" si="11"/>
        <v>101598</v>
      </c>
      <c r="AB20" s="87">
        <f t="shared" si="12"/>
        <v>283903</v>
      </c>
      <c r="AC20" s="218">
        <f>G20</f>
        <v>964447</v>
      </c>
      <c r="AD20" s="99">
        <f t="shared" ref="AD20:AG24" si="13">Y20/T20*100</f>
        <v>83.037043946307776</v>
      </c>
      <c r="AE20" s="94">
        <f t="shared" si="13"/>
        <v>35.795462845110933</v>
      </c>
      <c r="AF20" s="100">
        <f t="shared" si="13"/>
        <v>17.766346470930834</v>
      </c>
      <c r="AG20" s="100">
        <f t="shared" si="13"/>
        <v>86.880237393838314</v>
      </c>
      <c r="AH20" s="221">
        <f t="shared" ref="AH20:AH46" si="14">AC20/X20*100</f>
        <v>78.704237540075468</v>
      </c>
      <c r="AI20" s="94"/>
      <c r="AJ20" s="5" t="s">
        <v>131</v>
      </c>
      <c r="AK20" s="14">
        <f>AE19</f>
        <v>24.522518273991984</v>
      </c>
      <c r="AL20" s="5" t="s">
        <v>60</v>
      </c>
    </row>
    <row r="21" spans="1:42" x14ac:dyDescent="0.2">
      <c r="A21" s="7" t="s">
        <v>19</v>
      </c>
      <c r="B21" s="6">
        <v>0</v>
      </c>
      <c r="C21" s="6">
        <v>0</v>
      </c>
      <c r="D21" s="6">
        <v>0</v>
      </c>
      <c r="E21" s="6">
        <v>0</v>
      </c>
      <c r="F21" s="6">
        <v>2396337</v>
      </c>
      <c r="G21" s="6">
        <v>0</v>
      </c>
      <c r="H21" s="6">
        <v>2396337</v>
      </c>
      <c r="J21" s="36" t="str">
        <f t="shared" si="0"/>
        <v>Bulgaria</v>
      </c>
      <c r="K21" s="39">
        <f t="shared" si="4"/>
        <v>0</v>
      </c>
      <c r="L21" s="39">
        <f t="shared" si="1"/>
        <v>0</v>
      </c>
      <c r="M21" s="39">
        <f t="shared" si="2"/>
        <v>0</v>
      </c>
      <c r="N21" s="39">
        <f t="shared" si="3"/>
        <v>0</v>
      </c>
      <c r="O21" s="214">
        <f t="shared" si="5"/>
        <v>0</v>
      </c>
      <c r="P21" s="217"/>
      <c r="R21" s="80" t="str">
        <f t="shared" si="6"/>
        <v>Bulgaria</v>
      </c>
      <c r="S21" s="82">
        <f t="shared" si="7"/>
        <v>2396337</v>
      </c>
      <c r="T21" s="86">
        <f t="shared" si="8"/>
        <v>479267.4</v>
      </c>
      <c r="U21" s="87">
        <f t="shared" si="8"/>
        <v>143780.22</v>
      </c>
      <c r="V21" s="87">
        <f t="shared" si="8"/>
        <v>335487.18000000005</v>
      </c>
      <c r="W21" s="87">
        <f t="shared" si="8"/>
        <v>191706.96</v>
      </c>
      <c r="X21" s="218">
        <f t="shared" si="8"/>
        <v>718901.1</v>
      </c>
      <c r="Y21" s="86">
        <f t="shared" si="9"/>
        <v>0</v>
      </c>
      <c r="Z21" s="87">
        <f t="shared" si="10"/>
        <v>0</v>
      </c>
      <c r="AA21" s="87">
        <f t="shared" si="11"/>
        <v>0</v>
      </c>
      <c r="AB21" s="87">
        <f t="shared" si="12"/>
        <v>0</v>
      </c>
      <c r="AC21" s="218">
        <f t="shared" ref="AC21:AC29" si="15">G21</f>
        <v>0</v>
      </c>
      <c r="AD21" s="93">
        <f t="shared" si="13"/>
        <v>0</v>
      </c>
      <c r="AE21" s="94">
        <f t="shared" si="13"/>
        <v>0</v>
      </c>
      <c r="AF21" s="94">
        <f t="shared" si="13"/>
        <v>0</v>
      </c>
      <c r="AG21" s="94">
        <f t="shared" si="13"/>
        <v>0</v>
      </c>
      <c r="AH21" s="221">
        <f t="shared" si="14"/>
        <v>0</v>
      </c>
      <c r="AI21" s="94"/>
      <c r="AJ21" s="5" t="s">
        <v>132</v>
      </c>
      <c r="AK21" s="14">
        <f>AF19</f>
        <v>7.1411729039646969</v>
      </c>
      <c r="AL21" s="5" t="s">
        <v>60</v>
      </c>
    </row>
    <row r="22" spans="1:42" x14ac:dyDescent="0.2">
      <c r="A22" s="7" t="s">
        <v>20</v>
      </c>
      <c r="B22" s="6">
        <v>82672</v>
      </c>
      <c r="C22" s="6">
        <v>78289</v>
      </c>
      <c r="D22" s="6">
        <v>158626</v>
      </c>
      <c r="E22" s="6">
        <v>63500</v>
      </c>
      <c r="F22" s="6">
        <v>2704704</v>
      </c>
      <c r="G22" s="6">
        <v>172197</v>
      </c>
      <c r="H22" s="6">
        <v>3297532</v>
      </c>
      <c r="J22" s="36" t="str">
        <f t="shared" si="0"/>
        <v>Czech Republic</v>
      </c>
      <c r="K22" s="39">
        <f t="shared" si="4"/>
        <v>2.507087118487402</v>
      </c>
      <c r="L22" s="39">
        <f t="shared" si="1"/>
        <v>2.374169530424572</v>
      </c>
      <c r="M22" s="39">
        <f t="shared" si="2"/>
        <v>4.8104461154584701</v>
      </c>
      <c r="N22" s="39">
        <f t="shared" si="3"/>
        <v>1.9256826014122077</v>
      </c>
      <c r="O22" s="214">
        <f t="shared" si="5"/>
        <v>5.2219963293760303</v>
      </c>
      <c r="P22" s="217"/>
      <c r="R22" s="80" t="str">
        <f t="shared" si="6"/>
        <v>Czech Republic</v>
      </c>
      <c r="S22" s="82">
        <f t="shared" si="7"/>
        <v>3297532</v>
      </c>
      <c r="T22" s="86">
        <f t="shared" si="8"/>
        <v>659506.4</v>
      </c>
      <c r="U22" s="87">
        <f t="shared" si="8"/>
        <v>197851.91999999998</v>
      </c>
      <c r="V22" s="87">
        <f t="shared" si="8"/>
        <v>461654.48000000004</v>
      </c>
      <c r="W22" s="87">
        <f t="shared" si="8"/>
        <v>263802.56</v>
      </c>
      <c r="X22" s="218">
        <f t="shared" si="8"/>
        <v>989259.6</v>
      </c>
      <c r="Y22" s="86">
        <f t="shared" ref="Y22:Y29" si="16">D22</f>
        <v>158626</v>
      </c>
      <c r="Z22" s="87">
        <f>B22</f>
        <v>82672</v>
      </c>
      <c r="AA22" s="87">
        <f t="shared" ref="AA22:AA29" si="17">E22</f>
        <v>63500</v>
      </c>
      <c r="AB22" s="87">
        <f t="shared" si="12"/>
        <v>78289</v>
      </c>
      <c r="AC22" s="218">
        <f t="shared" si="15"/>
        <v>172197</v>
      </c>
      <c r="AD22" s="93">
        <f t="shared" si="13"/>
        <v>24.052230577292349</v>
      </c>
      <c r="AE22" s="94">
        <f t="shared" si="13"/>
        <v>41.784785308123375</v>
      </c>
      <c r="AF22" s="94">
        <f t="shared" si="13"/>
        <v>13.754875724372912</v>
      </c>
      <c r="AG22" s="94">
        <f t="shared" si="13"/>
        <v>29.677119130307151</v>
      </c>
      <c r="AH22" s="221">
        <f t="shared" si="14"/>
        <v>17.406654431253436</v>
      </c>
      <c r="AI22" s="94"/>
      <c r="AJ22" s="5" t="s">
        <v>133</v>
      </c>
      <c r="AK22" s="14">
        <f>AG19</f>
        <v>52.817731667059654</v>
      </c>
      <c r="AL22" s="5" t="s">
        <v>60</v>
      </c>
    </row>
    <row r="23" spans="1:42" x14ac:dyDescent="0.2">
      <c r="A23" s="7" t="s">
        <v>21</v>
      </c>
      <c r="B23" s="6">
        <v>113570</v>
      </c>
      <c r="C23" s="6">
        <v>128654</v>
      </c>
      <c r="D23" s="6">
        <v>84684</v>
      </c>
      <c r="E23" s="6">
        <v>5270</v>
      </c>
      <c r="F23" s="6">
        <v>1254841</v>
      </c>
      <c r="G23" s="6">
        <v>313265</v>
      </c>
      <c r="H23" s="6">
        <v>2161272</v>
      </c>
      <c r="J23" s="36" t="str">
        <f t="shared" si="0"/>
        <v>Denmark</v>
      </c>
      <c r="K23" s="39">
        <f t="shared" si="4"/>
        <v>5.2547758912344218</v>
      </c>
      <c r="L23" s="39">
        <f t="shared" si="1"/>
        <v>5.9526982258595869</v>
      </c>
      <c r="M23" s="39">
        <f t="shared" si="2"/>
        <v>3.9182481427603744</v>
      </c>
      <c r="N23" s="39">
        <f t="shared" si="3"/>
        <v>0.2438378880585137</v>
      </c>
      <c r="O23" s="214">
        <f t="shared" si="5"/>
        <v>14.494473624791326</v>
      </c>
      <c r="P23" s="217"/>
      <c r="R23" s="80" t="str">
        <f t="shared" si="6"/>
        <v>Denmark</v>
      </c>
      <c r="S23" s="82">
        <f t="shared" si="7"/>
        <v>2161272</v>
      </c>
      <c r="T23" s="86">
        <f t="shared" si="8"/>
        <v>432254.4</v>
      </c>
      <c r="U23" s="87">
        <f t="shared" si="8"/>
        <v>129676.31999999999</v>
      </c>
      <c r="V23" s="87">
        <f t="shared" si="8"/>
        <v>302578.08</v>
      </c>
      <c r="W23" s="87">
        <f t="shared" si="8"/>
        <v>172901.76000000001</v>
      </c>
      <c r="X23" s="218">
        <f t="shared" si="8"/>
        <v>648381.6</v>
      </c>
      <c r="Y23" s="86">
        <f t="shared" si="16"/>
        <v>84684</v>
      </c>
      <c r="Z23" s="87">
        <f>B23</f>
        <v>113570</v>
      </c>
      <c r="AA23" s="87">
        <f t="shared" si="17"/>
        <v>5270</v>
      </c>
      <c r="AB23" s="87">
        <f t="shared" si="12"/>
        <v>128654</v>
      </c>
      <c r="AC23" s="218">
        <f t="shared" si="15"/>
        <v>313265</v>
      </c>
      <c r="AD23" s="93">
        <f t="shared" si="13"/>
        <v>19.591240713801874</v>
      </c>
      <c r="AE23" s="100">
        <f t="shared" si="13"/>
        <v>87.579598187240364</v>
      </c>
      <c r="AF23" s="94">
        <f t="shared" si="13"/>
        <v>1.7416992004179548</v>
      </c>
      <c r="AG23" s="94">
        <f t="shared" si="13"/>
        <v>74.408727823244831</v>
      </c>
      <c r="AH23" s="221">
        <f t="shared" si="14"/>
        <v>48.314912082637754</v>
      </c>
      <c r="AI23" s="94"/>
    </row>
    <row r="24" spans="1:42" x14ac:dyDescent="0.2">
      <c r="A24" s="7" t="s">
        <v>47</v>
      </c>
      <c r="B24" s="6">
        <v>272139</v>
      </c>
      <c r="C24" s="6">
        <v>1910846</v>
      </c>
      <c r="D24" s="6">
        <v>5645743</v>
      </c>
      <c r="E24" s="6">
        <v>45895</v>
      </c>
      <c r="F24" s="6">
        <v>16111914</v>
      </c>
      <c r="G24" s="6">
        <v>8494631</v>
      </c>
      <c r="H24" s="6">
        <v>36311611</v>
      </c>
      <c r="J24" s="36" t="str">
        <f t="shared" si="0"/>
        <v>Germany</v>
      </c>
      <c r="K24" s="39">
        <f t="shared" si="4"/>
        <v>0.74945449266902542</v>
      </c>
      <c r="L24" s="39">
        <f t="shared" si="1"/>
        <v>5.2623553386270849</v>
      </c>
      <c r="M24" s="39">
        <f t="shared" si="2"/>
        <v>15.548037788794334</v>
      </c>
      <c r="N24" s="39">
        <f t="shared" si="3"/>
        <v>0.1263920788312036</v>
      </c>
      <c r="O24" s="214">
        <f t="shared" si="5"/>
        <v>23.393704564636366</v>
      </c>
      <c r="P24" s="217"/>
      <c r="R24" s="80" t="str">
        <f t="shared" si="6"/>
        <v>Germany</v>
      </c>
      <c r="S24" s="82">
        <f t="shared" si="7"/>
        <v>36311611</v>
      </c>
      <c r="T24" s="86">
        <f t="shared" si="8"/>
        <v>7262322.2000000002</v>
      </c>
      <c r="U24" s="87">
        <f t="shared" si="8"/>
        <v>2178696.66</v>
      </c>
      <c r="V24" s="87">
        <f t="shared" si="8"/>
        <v>5083625.54</v>
      </c>
      <c r="W24" s="87">
        <f t="shared" si="8"/>
        <v>2904928.88</v>
      </c>
      <c r="X24" s="218">
        <f t="shared" si="8"/>
        <v>10893483.299999999</v>
      </c>
      <c r="Y24" s="86">
        <f t="shared" si="16"/>
        <v>5645743</v>
      </c>
      <c r="Z24" s="87">
        <f>B24</f>
        <v>272139</v>
      </c>
      <c r="AA24" s="87">
        <f t="shared" si="17"/>
        <v>45895</v>
      </c>
      <c r="AB24" s="87">
        <f t="shared" si="12"/>
        <v>1910846</v>
      </c>
      <c r="AC24" s="218">
        <f t="shared" si="15"/>
        <v>8494631</v>
      </c>
      <c r="AD24" s="99">
        <f t="shared" si="13"/>
        <v>77.74018894397166</v>
      </c>
      <c r="AE24" s="94">
        <f t="shared" si="13"/>
        <v>12.490908211150421</v>
      </c>
      <c r="AF24" s="94">
        <f t="shared" si="13"/>
        <v>0.90280056308002576</v>
      </c>
      <c r="AG24" s="94">
        <f t="shared" si="13"/>
        <v>65.779441732838578</v>
      </c>
      <c r="AH24" s="221">
        <f t="shared" si="14"/>
        <v>77.979015215454552</v>
      </c>
      <c r="AI24" s="94"/>
    </row>
    <row r="25" spans="1:42" ht="15" x14ac:dyDescent="0.25">
      <c r="A25" s="7" t="s">
        <v>22</v>
      </c>
      <c r="B25" s="6">
        <v>167702</v>
      </c>
      <c r="C25" s="6">
        <v>20313</v>
      </c>
      <c r="D25" s="6">
        <v>10158</v>
      </c>
      <c r="E25" s="6">
        <v>2543</v>
      </c>
      <c r="F25" s="6">
        <v>162122</v>
      </c>
      <c r="G25" s="6">
        <v>8116</v>
      </c>
      <c r="H25" s="6">
        <v>407353</v>
      </c>
      <c r="J25" s="36" t="str">
        <f t="shared" si="0"/>
        <v>Estonia</v>
      </c>
      <c r="K25" s="75">
        <f t="shared" si="4"/>
        <v>41.168716076719704</v>
      </c>
      <c r="L25" s="39">
        <f t="shared" si="1"/>
        <v>4.9865841174607777</v>
      </c>
      <c r="M25" s="39">
        <f t="shared" si="2"/>
        <v>2.4936602897241462</v>
      </c>
      <c r="N25" s="39">
        <f t="shared" si="3"/>
        <v>0.62427427808313674</v>
      </c>
      <c r="O25" s="214">
        <f t="shared" si="5"/>
        <v>1.992375163555933</v>
      </c>
      <c r="P25" s="217"/>
      <c r="R25" s="80" t="str">
        <f t="shared" si="6"/>
        <v>Estonia</v>
      </c>
      <c r="S25" s="82">
        <f t="shared" si="7"/>
        <v>407353</v>
      </c>
      <c r="T25" s="86">
        <f t="shared" si="8"/>
        <v>81470.600000000006</v>
      </c>
      <c r="U25" s="87">
        <f t="shared" si="8"/>
        <v>24441.18</v>
      </c>
      <c r="V25" s="87">
        <f t="shared" si="8"/>
        <v>57029.420000000006</v>
      </c>
      <c r="W25" s="87">
        <f t="shared" si="8"/>
        <v>32588.240000000002</v>
      </c>
      <c r="X25" s="218">
        <f t="shared" si="8"/>
        <v>122205.9</v>
      </c>
      <c r="Y25" s="86">
        <f t="shared" si="16"/>
        <v>10158</v>
      </c>
      <c r="Z25" s="87"/>
      <c r="AA25" s="87">
        <f t="shared" si="17"/>
        <v>2543</v>
      </c>
      <c r="AB25" s="87">
        <f t="shared" si="12"/>
        <v>20313</v>
      </c>
      <c r="AC25" s="218">
        <f t="shared" si="15"/>
        <v>8116</v>
      </c>
      <c r="AD25" s="93">
        <f>Y25/T25*100</f>
        <v>12.468301448620728</v>
      </c>
      <c r="AE25" s="94"/>
      <c r="AF25" s="94">
        <f t="shared" ref="AF25:AG29" si="18">AA25/V25*100</f>
        <v>4.4591019863081192</v>
      </c>
      <c r="AG25" s="94">
        <f t="shared" si="18"/>
        <v>62.332301468259708</v>
      </c>
      <c r="AH25" s="221">
        <f t="shared" si="14"/>
        <v>6.6412505451864448</v>
      </c>
      <c r="AI25" s="94"/>
      <c r="AJ25" s="57" t="s">
        <v>234</v>
      </c>
      <c r="AO25" s="114" t="s">
        <v>140</v>
      </c>
    </row>
    <row r="26" spans="1:42" x14ac:dyDescent="0.2">
      <c r="A26" s="7" t="s">
        <v>23</v>
      </c>
      <c r="B26" s="6">
        <v>10762</v>
      </c>
      <c r="C26" s="6">
        <v>86832</v>
      </c>
      <c r="D26" s="6">
        <v>20968</v>
      </c>
      <c r="E26" s="6">
        <v>6044</v>
      </c>
      <c r="F26" s="6">
        <v>1380802</v>
      </c>
      <c r="G26" s="6">
        <v>123626</v>
      </c>
      <c r="H26" s="6">
        <v>1722523</v>
      </c>
      <c r="J26" s="36" t="str">
        <f t="shared" si="0"/>
        <v>Ireland</v>
      </c>
      <c r="K26" s="39">
        <f t="shared" si="4"/>
        <v>0.62478120756587863</v>
      </c>
      <c r="L26" s="39">
        <f t="shared" si="1"/>
        <v>5.0409776821557681</v>
      </c>
      <c r="M26" s="39">
        <f t="shared" si="2"/>
        <v>1.2172841814013513</v>
      </c>
      <c r="N26" s="39">
        <f t="shared" si="3"/>
        <v>0.35088065587513201</v>
      </c>
      <c r="O26" s="214">
        <f t="shared" si="5"/>
        <v>7.1770304373294289</v>
      </c>
      <c r="P26" s="217"/>
      <c r="R26" s="80" t="str">
        <f t="shared" si="6"/>
        <v>Ireland</v>
      </c>
      <c r="S26" s="82">
        <f t="shared" si="7"/>
        <v>1722523</v>
      </c>
      <c r="T26" s="86">
        <f t="shared" si="8"/>
        <v>344504.60000000003</v>
      </c>
      <c r="U26" s="87">
        <f t="shared" si="8"/>
        <v>103351.37999999999</v>
      </c>
      <c r="V26" s="87">
        <f t="shared" si="8"/>
        <v>241153.22000000003</v>
      </c>
      <c r="W26" s="87">
        <f t="shared" si="8"/>
        <v>137801.84</v>
      </c>
      <c r="X26" s="218">
        <f t="shared" si="8"/>
        <v>516756.89999999997</v>
      </c>
      <c r="Y26" s="86">
        <f t="shared" si="16"/>
        <v>20968</v>
      </c>
      <c r="Z26" s="87">
        <f>B26</f>
        <v>10762</v>
      </c>
      <c r="AA26" s="87">
        <f t="shared" si="17"/>
        <v>6044</v>
      </c>
      <c r="AB26" s="87">
        <f t="shared" si="12"/>
        <v>86832</v>
      </c>
      <c r="AC26" s="218">
        <f t="shared" si="15"/>
        <v>123626</v>
      </c>
      <c r="AD26" s="93">
        <f>Y26/T26*100</f>
        <v>6.0864209070067563</v>
      </c>
      <c r="AE26" s="94">
        <f t="shared" ref="AE26:AE32" si="19">Z26/U26*100</f>
        <v>10.413020126097978</v>
      </c>
      <c r="AF26" s="94">
        <f t="shared" si="18"/>
        <v>2.5062903991080852</v>
      </c>
      <c r="AG26" s="94">
        <f t="shared" si="18"/>
        <v>63.012221026947103</v>
      </c>
      <c r="AH26" s="221">
        <f t="shared" si="14"/>
        <v>23.923434791098096</v>
      </c>
      <c r="AI26" s="94"/>
      <c r="AL26" s="114" t="s">
        <v>224</v>
      </c>
      <c r="AM26" s="5" t="s">
        <v>225</v>
      </c>
      <c r="AN26" s="5" t="s">
        <v>223</v>
      </c>
      <c r="AO26" s="39">
        <v>1.6217973231357556</v>
      </c>
      <c r="AP26" s="5" t="s">
        <v>229</v>
      </c>
    </row>
    <row r="27" spans="1:42" x14ac:dyDescent="0.2">
      <c r="A27" s="7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4593233</v>
      </c>
      <c r="G27" s="6">
        <v>0</v>
      </c>
      <c r="H27" s="6">
        <v>5197519</v>
      </c>
      <c r="J27" s="36" t="str">
        <f t="shared" si="0"/>
        <v>Greece</v>
      </c>
      <c r="K27" s="39">
        <f t="shared" si="4"/>
        <v>0</v>
      </c>
      <c r="L27" s="39">
        <f t="shared" si="1"/>
        <v>0</v>
      </c>
      <c r="M27" s="39">
        <f t="shared" si="2"/>
        <v>0</v>
      </c>
      <c r="N27" s="39">
        <f t="shared" si="3"/>
        <v>0</v>
      </c>
      <c r="O27" s="214">
        <f t="shared" si="5"/>
        <v>0</v>
      </c>
      <c r="P27" s="217"/>
      <c r="R27" s="80" t="str">
        <f t="shared" si="6"/>
        <v>Greece</v>
      </c>
      <c r="S27" s="82">
        <f t="shared" si="7"/>
        <v>5197519</v>
      </c>
      <c r="T27" s="86">
        <f t="shared" si="8"/>
        <v>1039503.8</v>
      </c>
      <c r="U27" s="87">
        <f t="shared" si="8"/>
        <v>311851.14</v>
      </c>
      <c r="V27" s="87">
        <f t="shared" si="8"/>
        <v>727652.66</v>
      </c>
      <c r="W27" s="87">
        <f t="shared" si="8"/>
        <v>415801.52</v>
      </c>
      <c r="X27" s="218">
        <f t="shared" si="8"/>
        <v>1559255.7</v>
      </c>
      <c r="Y27" s="86">
        <f t="shared" si="16"/>
        <v>0</v>
      </c>
      <c r="Z27" s="87">
        <f>B27</f>
        <v>0</v>
      </c>
      <c r="AA27" s="87">
        <f t="shared" si="17"/>
        <v>0</v>
      </c>
      <c r="AB27" s="87">
        <f t="shared" si="12"/>
        <v>0</v>
      </c>
      <c r="AC27" s="218">
        <f t="shared" si="15"/>
        <v>0</v>
      </c>
      <c r="AD27" s="93">
        <f>Y27/T27*100</f>
        <v>0</v>
      </c>
      <c r="AE27" s="94">
        <f t="shared" si="19"/>
        <v>0</v>
      </c>
      <c r="AF27" s="94">
        <f t="shared" si="18"/>
        <v>0</v>
      </c>
      <c r="AG27" s="94">
        <f t="shared" si="18"/>
        <v>0</v>
      </c>
      <c r="AH27" s="221">
        <f t="shared" si="14"/>
        <v>0</v>
      </c>
      <c r="AI27" s="94"/>
      <c r="AJ27" s="231" t="s">
        <v>222</v>
      </c>
      <c r="AK27" s="5" t="s">
        <v>130</v>
      </c>
      <c r="AL27" s="58">
        <f>Y19</f>
        <v>17180000</v>
      </c>
      <c r="AM27" s="58">
        <f>T19</f>
        <v>42410000</v>
      </c>
      <c r="AN27" s="205">
        <f>AL27/T19*100</f>
        <v>40.509313841075219</v>
      </c>
      <c r="AO27" s="205">
        <f>AN27*$AO$26</f>
        <v>65.697896749522002</v>
      </c>
      <c r="AP27" s="58">
        <f>AM27*AO27/100</f>
        <v>27862478.011472281</v>
      </c>
    </row>
    <row r="28" spans="1:42" x14ac:dyDescent="0.2">
      <c r="A28" s="7" t="s">
        <v>25</v>
      </c>
      <c r="B28" s="6">
        <v>56415</v>
      </c>
      <c r="C28" s="6">
        <v>609835</v>
      </c>
      <c r="D28" s="6">
        <v>1224038</v>
      </c>
      <c r="E28" s="6">
        <v>185499</v>
      </c>
      <c r="F28" s="6">
        <v>19258474</v>
      </c>
      <c r="G28" s="6">
        <v>558430</v>
      </c>
      <c r="H28" s="6">
        <v>22824799</v>
      </c>
      <c r="J28" s="36" t="str">
        <f t="shared" si="0"/>
        <v>Spain</v>
      </c>
      <c r="K28" s="39">
        <f t="shared" si="4"/>
        <v>0.24716537481885384</v>
      </c>
      <c r="L28" s="39">
        <f t="shared" si="1"/>
        <v>2.6718088514163916</v>
      </c>
      <c r="M28" s="39">
        <f t="shared" si="2"/>
        <v>5.3627547826379542</v>
      </c>
      <c r="N28" s="39">
        <f t="shared" si="3"/>
        <v>0.81270814257772883</v>
      </c>
      <c r="O28" s="214">
        <f t="shared" si="5"/>
        <v>2.4465932865389091</v>
      </c>
      <c r="P28" s="217"/>
      <c r="R28" s="80" t="str">
        <f t="shared" si="6"/>
        <v>Spain</v>
      </c>
      <c r="S28" s="82">
        <f t="shared" si="7"/>
        <v>22824799</v>
      </c>
      <c r="T28" s="86">
        <f t="shared" si="8"/>
        <v>4564959.8</v>
      </c>
      <c r="U28" s="87">
        <f t="shared" si="8"/>
        <v>1369487.94</v>
      </c>
      <c r="V28" s="87">
        <f t="shared" si="8"/>
        <v>3195471.8600000003</v>
      </c>
      <c r="W28" s="87">
        <f t="shared" si="8"/>
        <v>1825983.92</v>
      </c>
      <c r="X28" s="218">
        <f t="shared" si="8"/>
        <v>6847439.7000000002</v>
      </c>
      <c r="Y28" s="86">
        <f t="shared" si="16"/>
        <v>1224038</v>
      </c>
      <c r="Z28" s="87">
        <f>B28</f>
        <v>56415</v>
      </c>
      <c r="AA28" s="87">
        <f t="shared" si="17"/>
        <v>185499</v>
      </c>
      <c r="AB28" s="87">
        <f t="shared" si="12"/>
        <v>609835</v>
      </c>
      <c r="AC28" s="218">
        <f t="shared" si="15"/>
        <v>558430</v>
      </c>
      <c r="AD28" s="93">
        <f>Y28/T28*100</f>
        <v>26.813773913189777</v>
      </c>
      <c r="AE28" s="94">
        <f t="shared" si="19"/>
        <v>4.119422913647564</v>
      </c>
      <c r="AF28" s="94">
        <f t="shared" si="18"/>
        <v>5.8050581612694909</v>
      </c>
      <c r="AG28" s="94">
        <f t="shared" si="18"/>
        <v>33.397610642704898</v>
      </c>
      <c r="AH28" s="221">
        <f t="shared" si="14"/>
        <v>8.1553109551296963</v>
      </c>
      <c r="AI28" s="94"/>
      <c r="AK28" s="5" t="s">
        <v>131</v>
      </c>
      <c r="AL28" s="58">
        <f>Z19</f>
        <v>3120000</v>
      </c>
      <c r="AM28" s="58">
        <f>U19</f>
        <v>12723000</v>
      </c>
      <c r="AN28" s="205">
        <f>AL28/U19*100</f>
        <v>24.522518273991984</v>
      </c>
      <c r="AO28" s="205">
        <f>AN28*$AO$26</f>
        <v>39.770554493307849</v>
      </c>
      <c r="AP28" s="58">
        <f t="shared" ref="AP28:AP30" si="20">AM28*AO28/100</f>
        <v>5060007.6481835572</v>
      </c>
    </row>
    <row r="29" spans="1:42" x14ac:dyDescent="0.2">
      <c r="A29" s="7" t="s">
        <v>26</v>
      </c>
      <c r="B29" s="6">
        <v>636131</v>
      </c>
      <c r="C29" s="6">
        <v>1706185</v>
      </c>
      <c r="D29" s="6">
        <v>1392789</v>
      </c>
      <c r="E29" s="6">
        <v>190900</v>
      </c>
      <c r="F29" s="6">
        <v>18042903</v>
      </c>
      <c r="G29" s="210">
        <v>3771278</v>
      </c>
      <c r="H29" s="6">
        <v>26617828</v>
      </c>
      <c r="J29" s="36" t="str">
        <f t="shared" si="0"/>
        <v>France</v>
      </c>
      <c r="K29" s="39">
        <f t="shared" si="4"/>
        <v>2.3898681740673959</v>
      </c>
      <c r="L29" s="39">
        <f t="shared" si="1"/>
        <v>6.4099332221997987</v>
      </c>
      <c r="M29" s="39">
        <f t="shared" si="2"/>
        <v>5.2325418888423201</v>
      </c>
      <c r="N29" s="39">
        <f t="shared" si="3"/>
        <v>0.71718849486892777</v>
      </c>
      <c r="O29" s="214">
        <f t="shared" si="5"/>
        <v>14.168240924841802</v>
      </c>
      <c r="P29" s="217"/>
      <c r="R29" s="80" t="str">
        <f t="shared" si="6"/>
        <v>France</v>
      </c>
      <c r="S29" s="82">
        <f t="shared" si="7"/>
        <v>26617828</v>
      </c>
      <c r="T29" s="86">
        <f t="shared" si="8"/>
        <v>5323565.6000000006</v>
      </c>
      <c r="U29" s="87">
        <f t="shared" si="8"/>
        <v>1597069.68</v>
      </c>
      <c r="V29" s="87">
        <f t="shared" si="8"/>
        <v>3726495.9200000004</v>
      </c>
      <c r="W29" s="87">
        <f t="shared" si="8"/>
        <v>2129426.2400000002</v>
      </c>
      <c r="X29" s="218">
        <f t="shared" si="8"/>
        <v>7985348.3999999994</v>
      </c>
      <c r="Y29" s="86">
        <f t="shared" si="16"/>
        <v>1392789</v>
      </c>
      <c r="Z29" s="87">
        <f>B29</f>
        <v>636131</v>
      </c>
      <c r="AA29" s="87">
        <f t="shared" si="17"/>
        <v>190900</v>
      </c>
      <c r="AB29" s="87">
        <f t="shared" si="12"/>
        <v>1706185</v>
      </c>
      <c r="AC29" s="218">
        <f t="shared" si="15"/>
        <v>3771278</v>
      </c>
      <c r="AD29" s="93">
        <f>Y29/T29*100</f>
        <v>26.162709444211597</v>
      </c>
      <c r="AE29" s="94">
        <f t="shared" si="19"/>
        <v>39.831136234456601</v>
      </c>
      <c r="AF29" s="94">
        <f t="shared" si="18"/>
        <v>5.1227749633494826</v>
      </c>
      <c r="AG29" s="100">
        <f t="shared" si="18"/>
        <v>80.124165277497468</v>
      </c>
      <c r="AH29" s="221">
        <f t="shared" si="14"/>
        <v>47.227469749472675</v>
      </c>
      <c r="AI29" s="94"/>
      <c r="AK29" s="5" t="s">
        <v>132</v>
      </c>
      <c r="AL29" s="58">
        <f>AA19</f>
        <v>2120000</v>
      </c>
      <c r="AM29" s="58">
        <f>V19</f>
        <v>29687000.000000004</v>
      </c>
      <c r="AN29" s="205">
        <f>AL29/V19*100</f>
        <v>7.1411729039646969</v>
      </c>
      <c r="AO29" s="205">
        <f>AN29*$AO$26</f>
        <v>11.581535099699536</v>
      </c>
      <c r="AP29" s="58">
        <f t="shared" si="20"/>
        <v>3438210.3250478017</v>
      </c>
    </row>
    <row r="30" spans="1:42" x14ac:dyDescent="0.2">
      <c r="A30" s="7" t="s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J30" s="36" t="s">
        <v>27</v>
      </c>
      <c r="K30" s="39"/>
      <c r="L30" s="39"/>
      <c r="M30" s="39"/>
      <c r="N30" s="39"/>
      <c r="O30" s="214"/>
      <c r="P30" s="217"/>
      <c r="R30" s="80" t="str">
        <f t="shared" ref="R30:R46" si="21">J31</f>
        <v>Italy</v>
      </c>
      <c r="S30" s="82">
        <f t="shared" ref="S30:S46" si="22">H31</f>
        <v>32473736</v>
      </c>
      <c r="T30" s="86">
        <f t="shared" si="8"/>
        <v>6494747.2000000002</v>
      </c>
      <c r="U30" s="87">
        <f t="shared" si="8"/>
        <v>1948424.16</v>
      </c>
      <c r="V30" s="87">
        <f t="shared" si="8"/>
        <v>4546323.04</v>
      </c>
      <c r="W30" s="87">
        <f t="shared" si="8"/>
        <v>2597898.88</v>
      </c>
      <c r="X30" s="218">
        <f t="shared" si="8"/>
        <v>9742120.7999999989</v>
      </c>
      <c r="Y30" s="86"/>
      <c r="Z30" s="87">
        <f>B31</f>
        <v>317822</v>
      </c>
      <c r="AA30" s="87"/>
      <c r="AB30" s="87">
        <f t="shared" ref="AB30:AB46" si="23">C31</f>
        <v>1778507</v>
      </c>
      <c r="AC30" s="218">
        <f t="shared" ref="AC30:AC46" si="24">G31</f>
        <v>4154330</v>
      </c>
      <c r="AD30" s="93"/>
      <c r="AE30" s="94">
        <f t="shared" si="19"/>
        <v>16.311746000932363</v>
      </c>
      <c r="AF30" s="94"/>
      <c r="AG30" s="94">
        <f t="shared" ref="AG30:AG46" si="25">AB30/W30*100</f>
        <v>68.459439037134501</v>
      </c>
      <c r="AH30" s="221">
        <f t="shared" si="14"/>
        <v>42.642973591540773</v>
      </c>
      <c r="AI30" s="94"/>
      <c r="AK30" s="5" t="s">
        <v>133</v>
      </c>
      <c r="AL30" s="58">
        <f>AB19</f>
        <v>8960000</v>
      </c>
      <c r="AM30" s="58">
        <f>W19</f>
        <v>16964000</v>
      </c>
      <c r="AN30" s="205">
        <f>AL30/W19*100</f>
        <v>52.817731667059654</v>
      </c>
      <c r="AO30" s="205">
        <f>AN30*$AO$26</f>
        <v>85.659655831739983</v>
      </c>
      <c r="AP30" s="58">
        <f t="shared" si="20"/>
        <v>14531304.015296372</v>
      </c>
    </row>
    <row r="31" spans="1:42" x14ac:dyDescent="0.2">
      <c r="A31" s="7" t="s">
        <v>28</v>
      </c>
      <c r="B31" s="6">
        <v>317822</v>
      </c>
      <c r="C31" s="6">
        <v>1778507</v>
      </c>
      <c r="D31" s="6">
        <v>3062718</v>
      </c>
      <c r="E31" s="6">
        <v>648642</v>
      </c>
      <c r="F31" s="6">
        <v>21378070</v>
      </c>
      <c r="G31" s="6">
        <v>4154330</v>
      </c>
      <c r="H31" s="6">
        <v>32473736</v>
      </c>
      <c r="J31" s="36" t="str">
        <f t="shared" ref="J31:J47" si="26">A31</f>
        <v>Italy</v>
      </c>
      <c r="K31" s="39">
        <f t="shared" ref="K31:K47" si="27">B31/$H31*100</f>
        <v>0.97870476005594187</v>
      </c>
      <c r="L31" s="39">
        <f t="shared" ref="L31:L47" si="28">C31/$H31*100</f>
        <v>5.4767551229707596</v>
      </c>
      <c r="M31" s="39">
        <f t="shared" ref="M31:M47" si="29">D31/$H31*100</f>
        <v>9.4313693995664671</v>
      </c>
      <c r="N31" s="39">
        <f t="shared" ref="N31:N47" si="30">E31/$H31*100</f>
        <v>1.997435712355363</v>
      </c>
      <c r="O31" s="214">
        <f t="shared" si="5"/>
        <v>12.792892077462229</v>
      </c>
      <c r="P31" s="217"/>
      <c r="R31" s="80" t="str">
        <f t="shared" si="21"/>
        <v>Cyprus</v>
      </c>
      <c r="S31" s="82">
        <f t="shared" si="22"/>
        <v>414830</v>
      </c>
      <c r="T31" s="86">
        <f t="shared" si="8"/>
        <v>82966</v>
      </c>
      <c r="U31" s="87">
        <f t="shared" si="8"/>
        <v>24889.8</v>
      </c>
      <c r="V31" s="87">
        <f t="shared" si="8"/>
        <v>58076.200000000004</v>
      </c>
      <c r="W31" s="87">
        <f t="shared" si="8"/>
        <v>33186.400000000001</v>
      </c>
      <c r="X31" s="218">
        <f t="shared" si="8"/>
        <v>124449</v>
      </c>
      <c r="Y31" s="86">
        <f t="shared" ref="Y31:Y46" si="31">D32</f>
        <v>111079</v>
      </c>
      <c r="Z31" s="87">
        <f>B32</f>
        <v>17088</v>
      </c>
      <c r="AA31" s="87">
        <f t="shared" ref="AA31:AA46" si="32">E32</f>
        <v>76203</v>
      </c>
      <c r="AB31" s="87">
        <f t="shared" si="23"/>
        <v>15596</v>
      </c>
      <c r="AC31" s="218">
        <f t="shared" si="24"/>
        <v>40741</v>
      </c>
      <c r="AD31" s="93"/>
      <c r="AE31" s="100">
        <f t="shared" si="19"/>
        <v>68.654629607309019</v>
      </c>
      <c r="AF31" s="94"/>
      <c r="AG31" s="94">
        <f t="shared" si="25"/>
        <v>46.995154641660434</v>
      </c>
      <c r="AH31" s="221">
        <f t="shared" si="14"/>
        <v>32.737105159543269</v>
      </c>
      <c r="AI31" s="94"/>
    </row>
    <row r="32" spans="1:42" x14ac:dyDescent="0.2">
      <c r="A32" s="7" t="s">
        <v>29</v>
      </c>
      <c r="B32" s="6">
        <v>17088</v>
      </c>
      <c r="C32" s="6">
        <v>15596</v>
      </c>
      <c r="D32" s="6">
        <v>111079</v>
      </c>
      <c r="E32" s="6">
        <v>76203</v>
      </c>
      <c r="F32" s="6">
        <v>94419</v>
      </c>
      <c r="G32" s="6">
        <v>40741</v>
      </c>
      <c r="H32" s="6">
        <v>414830</v>
      </c>
      <c r="J32" s="36" t="str">
        <f t="shared" si="26"/>
        <v>Cyprus</v>
      </c>
      <c r="K32" s="39">
        <f t="shared" si="27"/>
        <v>4.1192777764385413</v>
      </c>
      <c r="L32" s="39">
        <f t="shared" si="28"/>
        <v>3.7596123713328349</v>
      </c>
      <c r="M32" s="75">
        <f t="shared" si="29"/>
        <v>26.776992985078223</v>
      </c>
      <c r="N32" s="75">
        <f t="shared" si="30"/>
        <v>18.369693609430367</v>
      </c>
      <c r="O32" s="214">
        <f t="shared" si="5"/>
        <v>9.8211315478629793</v>
      </c>
      <c r="P32" s="217"/>
      <c r="R32" s="80" t="str">
        <f t="shared" si="21"/>
        <v>Latvia</v>
      </c>
      <c r="S32" s="82">
        <f t="shared" si="22"/>
        <v>577311</v>
      </c>
      <c r="T32" s="86">
        <f t="shared" si="8"/>
        <v>115462.20000000001</v>
      </c>
      <c r="U32" s="87">
        <f t="shared" si="8"/>
        <v>34638.659999999996</v>
      </c>
      <c r="V32" s="87">
        <f t="shared" si="8"/>
        <v>80823.540000000008</v>
      </c>
      <c r="W32" s="87">
        <f t="shared" si="8"/>
        <v>46184.88</v>
      </c>
      <c r="X32" s="218">
        <f t="shared" si="8"/>
        <v>173193.3</v>
      </c>
      <c r="Y32" s="86">
        <f t="shared" si="31"/>
        <v>39986</v>
      </c>
      <c r="Z32" s="87">
        <f>B33</f>
        <v>0</v>
      </c>
      <c r="AA32" s="87">
        <f t="shared" si="32"/>
        <v>3760</v>
      </c>
      <c r="AB32" s="87">
        <f t="shared" si="23"/>
        <v>8848</v>
      </c>
      <c r="AC32" s="218">
        <f t="shared" si="24"/>
        <v>5745</v>
      </c>
      <c r="AD32" s="93">
        <f t="shared" ref="AD32:AD46" si="33">Y32/T32*100</f>
        <v>34.631247282660468</v>
      </c>
      <c r="AE32" s="94">
        <f t="shared" si="19"/>
        <v>0</v>
      </c>
      <c r="AF32" s="94">
        <f t="shared" ref="AF32:AF46" si="34">AA32/V32*100</f>
        <v>4.6521100164630251</v>
      </c>
      <c r="AG32" s="94">
        <f t="shared" si="25"/>
        <v>19.157784972051463</v>
      </c>
      <c r="AH32" s="221">
        <f t="shared" si="14"/>
        <v>3.3171029133344074</v>
      </c>
      <c r="AI32" s="94"/>
      <c r="AK32" s="114" t="s">
        <v>139</v>
      </c>
      <c r="AL32" s="58">
        <f>SUM(AL27:AL31)</f>
        <v>31380000</v>
      </c>
      <c r="AP32" s="58">
        <f>SUM(AP27:AP31)</f>
        <v>50892000.000000007</v>
      </c>
    </row>
    <row r="33" spans="1:43" x14ac:dyDescent="0.2">
      <c r="A33" s="7" t="s">
        <v>30</v>
      </c>
      <c r="B33" s="6">
        <v>0</v>
      </c>
      <c r="C33" s="6">
        <v>8848</v>
      </c>
      <c r="D33" s="6">
        <v>39986</v>
      </c>
      <c r="E33" s="6">
        <v>3760</v>
      </c>
      <c r="F33" s="6">
        <v>393243</v>
      </c>
      <c r="G33" s="6">
        <v>5745</v>
      </c>
      <c r="H33" s="6">
        <v>577311</v>
      </c>
      <c r="J33" s="36" t="str">
        <f t="shared" si="26"/>
        <v>Latvia</v>
      </c>
      <c r="K33" s="39">
        <f t="shared" si="27"/>
        <v>0</v>
      </c>
      <c r="L33" s="39">
        <f t="shared" si="28"/>
        <v>1.5326227977641167</v>
      </c>
      <c r="M33" s="39">
        <f t="shared" si="29"/>
        <v>6.9262494565320951</v>
      </c>
      <c r="N33" s="39">
        <f t="shared" si="30"/>
        <v>0.65129540230482352</v>
      </c>
      <c r="O33" s="214">
        <f t="shared" si="5"/>
        <v>0.9951308740003223</v>
      </c>
      <c r="P33" s="217"/>
      <c r="R33" s="80" t="str">
        <f t="shared" si="21"/>
        <v>Lithuania</v>
      </c>
      <c r="S33" s="82">
        <f t="shared" si="22"/>
        <v>1246190</v>
      </c>
      <c r="T33" s="86">
        <f t="shared" si="8"/>
        <v>249238</v>
      </c>
      <c r="U33" s="87">
        <f t="shared" si="8"/>
        <v>74771.399999999994</v>
      </c>
      <c r="V33" s="87">
        <f t="shared" si="8"/>
        <v>174466.6</v>
      </c>
      <c r="W33" s="87">
        <f t="shared" si="8"/>
        <v>99695.2</v>
      </c>
      <c r="X33" s="218">
        <f t="shared" si="8"/>
        <v>373857</v>
      </c>
      <c r="Y33" s="86">
        <f t="shared" si="31"/>
        <v>49539</v>
      </c>
      <c r="Z33" s="87"/>
      <c r="AA33" s="87">
        <f t="shared" si="32"/>
        <v>13815</v>
      </c>
      <c r="AB33" s="87">
        <f t="shared" si="23"/>
        <v>22945</v>
      </c>
      <c r="AC33" s="218">
        <f t="shared" si="24"/>
        <v>4459</v>
      </c>
      <c r="AD33" s="93">
        <f t="shared" si="33"/>
        <v>19.876182604578759</v>
      </c>
      <c r="AE33" s="94"/>
      <c r="AF33" s="94">
        <f t="shared" si="34"/>
        <v>7.9184210616817197</v>
      </c>
      <c r="AG33" s="94">
        <f t="shared" si="25"/>
        <v>23.015150177741759</v>
      </c>
      <c r="AH33" s="221">
        <f t="shared" si="14"/>
        <v>1.1927020224310365</v>
      </c>
      <c r="AI33" s="94"/>
      <c r="AK33" s="114" t="s">
        <v>134</v>
      </c>
      <c r="AL33" s="58">
        <f>SUM(T19:W19)</f>
        <v>101784000</v>
      </c>
      <c r="AP33" s="58">
        <f>AL33</f>
        <v>101784000</v>
      </c>
    </row>
    <row r="34" spans="1:43" x14ac:dyDescent="0.2">
      <c r="A34" s="7" t="s">
        <v>31</v>
      </c>
      <c r="B34" s="6">
        <v>351481</v>
      </c>
      <c r="C34" s="6">
        <v>22945</v>
      </c>
      <c r="D34" s="6">
        <v>49539</v>
      </c>
      <c r="E34" s="6">
        <v>13815</v>
      </c>
      <c r="F34" s="6">
        <v>755321</v>
      </c>
      <c r="G34" s="6">
        <v>4459</v>
      </c>
      <c r="H34" s="6">
        <v>1246190</v>
      </c>
      <c r="J34" s="36" t="str">
        <f t="shared" si="26"/>
        <v>Lithuania</v>
      </c>
      <c r="K34" s="75">
        <f t="shared" si="27"/>
        <v>28.204447154928218</v>
      </c>
      <c r="L34" s="39">
        <f t="shared" si="28"/>
        <v>1.8412120142193407</v>
      </c>
      <c r="M34" s="39">
        <f t="shared" si="29"/>
        <v>3.9752365209157516</v>
      </c>
      <c r="N34" s="39">
        <f t="shared" si="30"/>
        <v>1.1085789486354409</v>
      </c>
      <c r="O34" s="214">
        <f t="shared" si="5"/>
        <v>0.35781060672931092</v>
      </c>
      <c r="P34" s="217"/>
      <c r="R34" s="80" t="str">
        <f t="shared" si="21"/>
        <v>Luxembourg</v>
      </c>
      <c r="S34" s="82">
        <f t="shared" si="22"/>
        <v>244098</v>
      </c>
      <c r="T34" s="86">
        <f t="shared" si="8"/>
        <v>48819.600000000006</v>
      </c>
      <c r="U34" s="87">
        <f t="shared" si="8"/>
        <v>14645.88</v>
      </c>
      <c r="V34" s="87">
        <f t="shared" si="8"/>
        <v>34173.72</v>
      </c>
      <c r="W34" s="87">
        <f t="shared" si="8"/>
        <v>19527.84</v>
      </c>
      <c r="X34" s="218">
        <f t="shared" si="8"/>
        <v>73229.399999999994</v>
      </c>
      <c r="Y34" s="86">
        <f t="shared" si="31"/>
        <v>24661</v>
      </c>
      <c r="Z34" s="87">
        <f t="shared" ref="Z34:Z46" si="35">B35</f>
        <v>8421</v>
      </c>
      <c r="AA34" s="87">
        <f t="shared" si="32"/>
        <v>346</v>
      </c>
      <c r="AB34" s="87">
        <f t="shared" si="23"/>
        <v>12553</v>
      </c>
      <c r="AC34" s="218">
        <f t="shared" si="24"/>
        <v>67700</v>
      </c>
      <c r="AD34" s="93">
        <f t="shared" si="33"/>
        <v>50.514547435865921</v>
      </c>
      <c r="AE34" s="94">
        <f>Z34/U34*100</f>
        <v>57.497398585813897</v>
      </c>
      <c r="AF34" s="94">
        <f t="shared" si="34"/>
        <v>1.0124739127025095</v>
      </c>
      <c r="AG34" s="94">
        <f t="shared" si="25"/>
        <v>64.282583224770377</v>
      </c>
      <c r="AH34" s="221">
        <f t="shared" si="14"/>
        <v>92.449207558712772</v>
      </c>
      <c r="AI34" s="94"/>
      <c r="AK34" s="114" t="s">
        <v>138</v>
      </c>
      <c r="AL34" s="14">
        <f>AL32/AL33*100</f>
        <v>30.829992926196653</v>
      </c>
      <c r="AM34" s="5" t="s">
        <v>60</v>
      </c>
      <c r="AP34" s="14">
        <f>AP32/AP33*100</f>
        <v>50.000000000000014</v>
      </c>
      <c r="AQ34" s="5" t="s">
        <v>60</v>
      </c>
    </row>
    <row r="35" spans="1:43" x14ac:dyDescent="0.2">
      <c r="A35" s="7" t="s">
        <v>32</v>
      </c>
      <c r="B35" s="6">
        <v>8421</v>
      </c>
      <c r="C35" s="6">
        <v>12553</v>
      </c>
      <c r="D35" s="6">
        <v>24661</v>
      </c>
      <c r="E35" s="6">
        <v>346</v>
      </c>
      <c r="F35" s="6">
        <v>112712</v>
      </c>
      <c r="G35" s="6">
        <v>67700</v>
      </c>
      <c r="H35" s="6">
        <v>244098</v>
      </c>
      <c r="J35" s="36" t="str">
        <f t="shared" si="26"/>
        <v>Luxembourg</v>
      </c>
      <c r="K35" s="39">
        <f t="shared" si="27"/>
        <v>3.4498439151488336</v>
      </c>
      <c r="L35" s="39">
        <f t="shared" si="28"/>
        <v>5.1426066579816307</v>
      </c>
      <c r="M35" s="39">
        <f t="shared" si="29"/>
        <v>10.102909487173184</v>
      </c>
      <c r="N35" s="39">
        <f t="shared" si="30"/>
        <v>0.14174634777835132</v>
      </c>
      <c r="O35" s="214">
        <f t="shared" si="5"/>
        <v>27.734762267613828</v>
      </c>
      <c r="P35" s="217"/>
      <c r="R35" s="80" t="str">
        <f t="shared" si="21"/>
        <v>Hungary</v>
      </c>
      <c r="S35" s="82">
        <f t="shared" si="22"/>
        <v>2860947</v>
      </c>
      <c r="T35" s="86">
        <f t="shared" si="8"/>
        <v>572189.4</v>
      </c>
      <c r="U35" s="87">
        <f t="shared" si="8"/>
        <v>171656.82</v>
      </c>
      <c r="V35" s="87">
        <f t="shared" si="8"/>
        <v>400532.58</v>
      </c>
      <c r="W35" s="87">
        <f t="shared" si="8"/>
        <v>228875.76</v>
      </c>
      <c r="X35" s="218">
        <f t="shared" si="8"/>
        <v>858284.1</v>
      </c>
      <c r="Y35" s="86">
        <f t="shared" si="31"/>
        <v>120293</v>
      </c>
      <c r="Z35" s="87">
        <f t="shared" si="35"/>
        <v>177536</v>
      </c>
      <c r="AA35" s="87">
        <f t="shared" si="32"/>
        <v>23481</v>
      </c>
      <c r="AB35" s="87">
        <f t="shared" si="23"/>
        <v>22007</v>
      </c>
      <c r="AC35" s="218">
        <f t="shared" si="24"/>
        <v>103086</v>
      </c>
      <c r="AD35" s="93">
        <f t="shared" si="33"/>
        <v>21.023283549118528</v>
      </c>
      <c r="AE35" s="94"/>
      <c r="AF35" s="94">
        <f t="shared" si="34"/>
        <v>5.862444448339259</v>
      </c>
      <c r="AG35" s="94">
        <f t="shared" si="25"/>
        <v>9.6152602617245257</v>
      </c>
      <c r="AH35" s="221">
        <f t="shared" si="14"/>
        <v>12.010708342377542</v>
      </c>
      <c r="AI35" s="94"/>
    </row>
    <row r="36" spans="1:43" x14ac:dyDescent="0.2">
      <c r="A36" s="7" t="s">
        <v>33</v>
      </c>
      <c r="B36" s="6">
        <v>177536</v>
      </c>
      <c r="C36" s="6">
        <v>22007</v>
      </c>
      <c r="D36" s="6">
        <v>120293</v>
      </c>
      <c r="E36" s="6">
        <v>23481</v>
      </c>
      <c r="F36" s="6">
        <v>2363465</v>
      </c>
      <c r="G36" s="6">
        <v>103086</v>
      </c>
      <c r="H36" s="6">
        <v>2860947</v>
      </c>
      <c r="J36" s="36" t="str">
        <f t="shared" si="26"/>
        <v>Hungary</v>
      </c>
      <c r="K36" s="39">
        <f t="shared" si="27"/>
        <v>6.2054976901005157</v>
      </c>
      <c r="L36" s="39">
        <f t="shared" si="28"/>
        <v>0.76922082093796207</v>
      </c>
      <c r="M36" s="39">
        <f t="shared" si="29"/>
        <v>4.2046567098237047</v>
      </c>
      <c r="N36" s="39">
        <f t="shared" si="30"/>
        <v>0.82074222276749631</v>
      </c>
      <c r="O36" s="214">
        <f t="shared" si="5"/>
        <v>3.6032125027132627</v>
      </c>
      <c r="P36" s="217"/>
      <c r="R36" s="80" t="str">
        <f t="shared" si="21"/>
        <v>Malta</v>
      </c>
      <c r="S36" s="82">
        <f t="shared" si="22"/>
        <v>138099</v>
      </c>
      <c r="T36" s="86">
        <f t="shared" si="8"/>
        <v>27619.800000000003</v>
      </c>
      <c r="U36" s="87">
        <f t="shared" si="8"/>
        <v>8285.94</v>
      </c>
      <c r="V36" s="87">
        <f t="shared" si="8"/>
        <v>19333.86</v>
      </c>
      <c r="W36" s="87">
        <f t="shared" si="8"/>
        <v>11047.92</v>
      </c>
      <c r="X36" s="218">
        <f t="shared" si="8"/>
        <v>41429.699999999997</v>
      </c>
      <c r="Y36" s="86">
        <f t="shared" si="31"/>
        <v>1489</v>
      </c>
      <c r="Z36" s="87">
        <f t="shared" si="35"/>
        <v>1016</v>
      </c>
      <c r="AA36" s="87">
        <f t="shared" si="32"/>
        <v>816</v>
      </c>
      <c r="AB36" s="87">
        <f t="shared" si="23"/>
        <v>1777</v>
      </c>
      <c r="AC36" s="218">
        <f t="shared" si="24"/>
        <v>3454</v>
      </c>
      <c r="AD36" s="93">
        <f t="shared" si="33"/>
        <v>5.3910600366403809</v>
      </c>
      <c r="AE36" s="94">
        <f t="shared" ref="AE36:AE46" si="36">Z36/U36*100</f>
        <v>12.261734938944766</v>
      </c>
      <c r="AF36" s="94">
        <f t="shared" si="34"/>
        <v>4.2205746808966236</v>
      </c>
      <c r="AG36" s="94">
        <f t="shared" si="25"/>
        <v>16.084475629801808</v>
      </c>
      <c r="AH36" s="221">
        <f t="shared" si="14"/>
        <v>8.3370142675423669</v>
      </c>
      <c r="AI36" s="94"/>
      <c r="AN36" s="5" t="s">
        <v>226</v>
      </c>
    </row>
    <row r="37" spans="1:43" x14ac:dyDescent="0.2">
      <c r="A37" s="7" t="s">
        <v>34</v>
      </c>
      <c r="B37" s="6">
        <v>1016</v>
      </c>
      <c r="C37" s="6">
        <v>1777</v>
      </c>
      <c r="D37" s="6">
        <v>1489</v>
      </c>
      <c r="E37" s="6">
        <v>816</v>
      </c>
      <c r="F37" s="6">
        <v>108782</v>
      </c>
      <c r="G37" s="6">
        <v>3454</v>
      </c>
      <c r="H37" s="6">
        <v>138099</v>
      </c>
      <c r="J37" s="36" t="str">
        <f t="shared" si="26"/>
        <v>Malta</v>
      </c>
      <c r="K37" s="39">
        <f t="shared" si="27"/>
        <v>0.73570409633668599</v>
      </c>
      <c r="L37" s="39">
        <f t="shared" si="28"/>
        <v>1.2867580503841447</v>
      </c>
      <c r="M37" s="39">
        <f t="shared" si="29"/>
        <v>1.0782120073280763</v>
      </c>
      <c r="N37" s="39">
        <f t="shared" si="30"/>
        <v>0.59088045532552735</v>
      </c>
      <c r="O37" s="214">
        <f t="shared" si="5"/>
        <v>2.5011042802627101</v>
      </c>
      <c r="P37" s="217"/>
      <c r="R37" s="80" t="str">
        <f t="shared" si="21"/>
        <v>Netherlands</v>
      </c>
      <c r="S37" s="82">
        <f t="shared" si="22"/>
        <v>8552061</v>
      </c>
      <c r="T37" s="86">
        <f t="shared" si="8"/>
        <v>1710412.2000000002</v>
      </c>
      <c r="U37" s="87">
        <f t="shared" si="8"/>
        <v>513123.66</v>
      </c>
      <c r="V37" s="87">
        <f t="shared" si="8"/>
        <v>1197288.54</v>
      </c>
      <c r="W37" s="87">
        <f t="shared" si="8"/>
        <v>684164.88</v>
      </c>
      <c r="X37" s="218">
        <f t="shared" si="8"/>
        <v>2565618.2999999998</v>
      </c>
      <c r="Y37" s="86">
        <f t="shared" si="31"/>
        <v>1127573</v>
      </c>
      <c r="Z37" s="87">
        <f t="shared" si="35"/>
        <v>64349</v>
      </c>
      <c r="AA37" s="87">
        <f t="shared" si="32"/>
        <v>89551</v>
      </c>
      <c r="AB37" s="87">
        <f t="shared" si="23"/>
        <v>357748</v>
      </c>
      <c r="AC37" s="218">
        <f t="shared" si="24"/>
        <v>1707527</v>
      </c>
      <c r="AD37" s="93">
        <f t="shared" si="33"/>
        <v>65.924050354645502</v>
      </c>
      <c r="AE37" s="94">
        <f t="shared" si="36"/>
        <v>12.540641762650354</v>
      </c>
      <c r="AF37" s="94">
        <f t="shared" si="34"/>
        <v>7.4794836005028493</v>
      </c>
      <c r="AG37" s="94">
        <f t="shared" si="25"/>
        <v>52.289734603155893</v>
      </c>
      <c r="AH37" s="221">
        <f t="shared" si="14"/>
        <v>66.554210343760019</v>
      </c>
      <c r="AI37" s="94"/>
    </row>
    <row r="38" spans="1:43" x14ac:dyDescent="0.2">
      <c r="A38" s="7" t="s">
        <v>35</v>
      </c>
      <c r="B38" s="6">
        <v>64349</v>
      </c>
      <c r="C38" s="6">
        <v>357748</v>
      </c>
      <c r="D38" s="6">
        <v>1127573</v>
      </c>
      <c r="E38" s="6">
        <v>89551</v>
      </c>
      <c r="F38" s="6">
        <v>4408606</v>
      </c>
      <c r="G38" s="6">
        <v>1707527</v>
      </c>
      <c r="H38" s="6">
        <v>8552061</v>
      </c>
      <c r="J38" s="36" t="str">
        <f t="shared" si="26"/>
        <v>Netherlands</v>
      </c>
      <c r="K38" s="39">
        <f t="shared" si="27"/>
        <v>0.75243850575902105</v>
      </c>
      <c r="L38" s="39">
        <f t="shared" si="28"/>
        <v>4.1831787682524713</v>
      </c>
      <c r="M38" s="39">
        <f t="shared" si="29"/>
        <v>13.184810070929101</v>
      </c>
      <c r="N38" s="39">
        <f t="shared" si="30"/>
        <v>1.047127704070399</v>
      </c>
      <c r="O38" s="214">
        <f t="shared" si="5"/>
        <v>19.966263103128007</v>
      </c>
      <c r="P38" s="217"/>
      <c r="R38" s="80" t="str">
        <f t="shared" si="21"/>
        <v>Austria</v>
      </c>
      <c r="S38" s="82">
        <f t="shared" si="22"/>
        <v>3477266</v>
      </c>
      <c r="T38" s="86">
        <f t="shared" si="8"/>
        <v>695453.20000000007</v>
      </c>
      <c r="U38" s="87">
        <f t="shared" si="8"/>
        <v>208635.96</v>
      </c>
      <c r="V38" s="87">
        <f t="shared" si="8"/>
        <v>486817.24000000005</v>
      </c>
      <c r="W38" s="87">
        <f t="shared" si="8"/>
        <v>278181.28000000003</v>
      </c>
      <c r="X38" s="218">
        <f t="shared" si="8"/>
        <v>1043179.7999999999</v>
      </c>
      <c r="Y38" s="86">
        <f t="shared" si="31"/>
        <v>677000</v>
      </c>
      <c r="Z38" s="87">
        <f t="shared" si="35"/>
        <v>117400</v>
      </c>
      <c r="AA38" s="87">
        <f t="shared" si="32"/>
        <v>151456</v>
      </c>
      <c r="AB38" s="87">
        <f t="shared" si="23"/>
        <v>222851</v>
      </c>
      <c r="AC38" s="218">
        <f t="shared" si="24"/>
        <v>464120</v>
      </c>
      <c r="AD38" s="99">
        <f t="shared" si="33"/>
        <v>97.346593559422828</v>
      </c>
      <c r="AE38" s="94">
        <f t="shared" si="36"/>
        <v>56.270261368174502</v>
      </c>
      <c r="AF38" s="100">
        <f t="shared" si="34"/>
        <v>31.111470086803006</v>
      </c>
      <c r="AG38" s="100">
        <f t="shared" si="25"/>
        <v>80.109991585343181</v>
      </c>
      <c r="AH38" s="221">
        <f t="shared" si="14"/>
        <v>44.490892174100765</v>
      </c>
      <c r="AI38" s="94"/>
      <c r="AJ38" s="231" t="s">
        <v>227</v>
      </c>
      <c r="AO38" s="114" t="s">
        <v>140</v>
      </c>
    </row>
    <row r="39" spans="1:43" x14ac:dyDescent="0.2">
      <c r="A39" s="7" t="s">
        <v>36</v>
      </c>
      <c r="B39" s="6">
        <v>117400</v>
      </c>
      <c r="C39" s="6">
        <v>222851</v>
      </c>
      <c r="D39" s="6">
        <v>677000</v>
      </c>
      <c r="E39" s="6">
        <v>151456</v>
      </c>
      <c r="F39" s="6">
        <v>1501827</v>
      </c>
      <c r="G39" s="6">
        <v>464120</v>
      </c>
      <c r="H39" s="6">
        <v>3477266</v>
      </c>
      <c r="J39" s="36" t="str">
        <f t="shared" si="26"/>
        <v>Austria</v>
      </c>
      <c r="K39" s="39">
        <f t="shared" si="27"/>
        <v>3.3762156820904701</v>
      </c>
      <c r="L39" s="39">
        <f t="shared" si="28"/>
        <v>6.4087993268274568</v>
      </c>
      <c r="M39" s="39">
        <f t="shared" si="29"/>
        <v>19.469318711884569</v>
      </c>
      <c r="N39" s="39">
        <f t="shared" si="30"/>
        <v>4.3556058121524206</v>
      </c>
      <c r="O39" s="214">
        <f t="shared" si="5"/>
        <v>13.347267652230229</v>
      </c>
      <c r="P39" s="217"/>
      <c r="R39" s="80" t="str">
        <f t="shared" si="21"/>
        <v>Poland</v>
      </c>
      <c r="S39" s="82">
        <f t="shared" si="22"/>
        <v>8889685</v>
      </c>
      <c r="T39" s="86">
        <f t="shared" si="8"/>
        <v>1777937</v>
      </c>
      <c r="U39" s="87">
        <f t="shared" si="8"/>
        <v>533381.1</v>
      </c>
      <c r="V39" s="87">
        <f t="shared" si="8"/>
        <v>1244555.9000000001</v>
      </c>
      <c r="W39" s="87">
        <f t="shared" si="8"/>
        <v>711174.8</v>
      </c>
      <c r="X39" s="218">
        <f t="shared" si="8"/>
        <v>2666905.5</v>
      </c>
      <c r="Y39" s="86">
        <f t="shared" si="31"/>
        <v>94765</v>
      </c>
      <c r="Z39" s="87">
        <f t="shared" si="35"/>
        <v>12474</v>
      </c>
      <c r="AA39" s="87">
        <f t="shared" si="32"/>
        <v>93765</v>
      </c>
      <c r="AB39" s="87">
        <f t="shared" si="23"/>
        <v>175976</v>
      </c>
      <c r="AC39" s="218">
        <f t="shared" si="24"/>
        <v>84761</v>
      </c>
      <c r="AD39" s="93">
        <f t="shared" si="33"/>
        <v>5.3300538770496368</v>
      </c>
      <c r="AE39" s="94">
        <f t="shared" si="36"/>
        <v>2.3386655432672812</v>
      </c>
      <c r="AF39" s="94">
        <f t="shared" si="34"/>
        <v>7.5340127349844215</v>
      </c>
      <c r="AG39" s="94">
        <f t="shared" si="25"/>
        <v>24.744408828884261</v>
      </c>
      <c r="AH39" s="221">
        <f t="shared" si="14"/>
        <v>3.178252847729325</v>
      </c>
      <c r="AI39" s="94"/>
      <c r="AL39" s="114" t="s">
        <v>224</v>
      </c>
      <c r="AM39" s="5" t="s">
        <v>225</v>
      </c>
      <c r="AN39" s="5" t="s">
        <v>223</v>
      </c>
      <c r="AO39" s="39">
        <v>1.4380020865936356</v>
      </c>
      <c r="AP39" s="5" t="s">
        <v>229</v>
      </c>
    </row>
    <row r="40" spans="1:43" x14ac:dyDescent="0.2">
      <c r="A40" s="7" t="s">
        <v>37</v>
      </c>
      <c r="B40" s="6">
        <v>12474</v>
      </c>
      <c r="C40" s="6">
        <v>175976</v>
      </c>
      <c r="D40" s="6">
        <v>94765</v>
      </c>
      <c r="E40" s="6">
        <v>93765</v>
      </c>
      <c r="F40" s="6">
        <v>8381246</v>
      </c>
      <c r="G40" s="6">
        <v>84761</v>
      </c>
      <c r="H40" s="6">
        <v>8889685</v>
      </c>
      <c r="J40" s="36" t="str">
        <f t="shared" si="26"/>
        <v>Poland</v>
      </c>
      <c r="K40" s="39">
        <f t="shared" si="27"/>
        <v>0.14031993259603687</v>
      </c>
      <c r="L40" s="39">
        <f t="shared" si="28"/>
        <v>1.9795527063107412</v>
      </c>
      <c r="M40" s="39">
        <f t="shared" si="29"/>
        <v>1.0660107754099273</v>
      </c>
      <c r="N40" s="39">
        <f t="shared" si="30"/>
        <v>1.0547617828978193</v>
      </c>
      <c r="O40" s="214">
        <f t="shared" si="5"/>
        <v>0.95347585431879767</v>
      </c>
      <c r="P40" s="217"/>
      <c r="R40" s="80" t="str">
        <f t="shared" si="21"/>
        <v>Portugal</v>
      </c>
      <c r="S40" s="82">
        <f t="shared" si="22"/>
        <v>5463649</v>
      </c>
      <c r="T40" s="86">
        <f t="shared" si="8"/>
        <v>1092729.8</v>
      </c>
      <c r="U40" s="87">
        <f t="shared" si="8"/>
        <v>327818.94</v>
      </c>
      <c r="V40" s="87">
        <f t="shared" si="8"/>
        <v>764910.8600000001</v>
      </c>
      <c r="W40" s="87">
        <f t="shared" si="8"/>
        <v>437091.92</v>
      </c>
      <c r="X40" s="218">
        <f t="shared" si="8"/>
        <v>1639094.7</v>
      </c>
      <c r="Y40" s="86">
        <f t="shared" si="31"/>
        <v>188673</v>
      </c>
      <c r="Z40" s="87">
        <f t="shared" si="35"/>
        <v>1</v>
      </c>
      <c r="AA40" s="87">
        <f t="shared" si="32"/>
        <v>48</v>
      </c>
      <c r="AB40" s="87">
        <f t="shared" si="23"/>
        <v>186375</v>
      </c>
      <c r="AC40" s="218">
        <f t="shared" si="24"/>
        <v>15</v>
      </c>
      <c r="AD40" s="93">
        <f t="shared" si="33"/>
        <v>17.266207986640431</v>
      </c>
      <c r="AE40" s="94">
        <f t="shared" si="36"/>
        <v>3.050464381344165E-4</v>
      </c>
      <c r="AF40" s="94">
        <f t="shared" si="34"/>
        <v>6.2752410130508529E-3</v>
      </c>
      <c r="AG40" s="94">
        <f t="shared" si="25"/>
        <v>42.639772430476405</v>
      </c>
      <c r="AH40" s="221">
        <f t="shared" si="14"/>
        <v>9.1513931440324956E-4</v>
      </c>
      <c r="AI40" s="94"/>
      <c r="AK40" s="5" t="s">
        <v>130</v>
      </c>
      <c r="AL40" s="58">
        <f>$Y$19</f>
        <v>17180000</v>
      </c>
      <c r="AM40" s="58">
        <f>$T$19</f>
        <v>42410000</v>
      </c>
      <c r="AN40" s="205">
        <f>AL40/AM40*100</f>
        <v>40.509313841075219</v>
      </c>
      <c r="AO40" s="205">
        <f>AN40*$AO$39</f>
        <v>58.252477829942606</v>
      </c>
      <c r="AP40" s="58">
        <f>AM40*AO40/100</f>
        <v>24704875.847678661</v>
      </c>
    </row>
    <row r="41" spans="1:43" x14ac:dyDescent="0.2">
      <c r="A41" s="7" t="s">
        <v>38</v>
      </c>
      <c r="B41" s="6">
        <v>1</v>
      </c>
      <c r="C41" s="6">
        <v>186375</v>
      </c>
      <c r="D41" s="6">
        <v>188673</v>
      </c>
      <c r="E41" s="6">
        <v>48</v>
      </c>
      <c r="F41" s="6">
        <v>5002570</v>
      </c>
      <c r="G41" s="6">
        <v>15</v>
      </c>
      <c r="H41" s="6">
        <v>5463649</v>
      </c>
      <c r="J41" s="36" t="str">
        <f t="shared" si="26"/>
        <v>Portugal</v>
      </c>
      <c r="K41" s="39">
        <f t="shared" si="27"/>
        <v>1.8302786288064991E-5</v>
      </c>
      <c r="L41" s="39">
        <f t="shared" si="28"/>
        <v>3.4111817944381126</v>
      </c>
      <c r="M41" s="39">
        <f t="shared" si="29"/>
        <v>3.4532415973280863</v>
      </c>
      <c r="N41" s="39">
        <f t="shared" si="30"/>
        <v>8.7853374182711951E-4</v>
      </c>
      <c r="O41" s="214">
        <f t="shared" si="5"/>
        <v>2.7454179432097488E-4</v>
      </c>
      <c r="P41" s="217"/>
      <c r="R41" s="80" t="str">
        <f t="shared" si="21"/>
        <v>Romania</v>
      </c>
      <c r="S41" s="82">
        <f t="shared" si="22"/>
        <v>5894950</v>
      </c>
      <c r="T41" s="86">
        <f t="shared" si="8"/>
        <v>1178990</v>
      </c>
      <c r="U41" s="87">
        <f t="shared" si="8"/>
        <v>353697</v>
      </c>
      <c r="V41" s="87">
        <f t="shared" si="8"/>
        <v>825293.00000000012</v>
      </c>
      <c r="W41" s="87">
        <f t="shared" si="8"/>
        <v>471596</v>
      </c>
      <c r="X41" s="218">
        <f t="shared" si="8"/>
        <v>1768485</v>
      </c>
      <c r="Y41" s="86">
        <f t="shared" si="31"/>
        <v>169423</v>
      </c>
      <c r="Z41" s="87">
        <f t="shared" si="35"/>
        <v>33803</v>
      </c>
      <c r="AA41" s="87">
        <f t="shared" si="32"/>
        <v>188885</v>
      </c>
      <c r="AB41" s="87">
        <f t="shared" si="23"/>
        <v>98013</v>
      </c>
      <c r="AC41" s="218">
        <f t="shared" si="24"/>
        <v>27618</v>
      </c>
      <c r="AD41" s="93">
        <f t="shared" si="33"/>
        <v>14.37018125683848</v>
      </c>
      <c r="AE41" s="94">
        <f t="shared" si="36"/>
        <v>9.5570502435700622</v>
      </c>
      <c r="AF41" s="100">
        <f t="shared" si="34"/>
        <v>22.887023154200989</v>
      </c>
      <c r="AG41" s="94">
        <f t="shared" si="25"/>
        <v>20.783255159076838</v>
      </c>
      <c r="AH41" s="221">
        <f t="shared" si="14"/>
        <v>1.5616756715493771</v>
      </c>
      <c r="AI41" s="94"/>
      <c r="AK41" s="5" t="s">
        <v>131</v>
      </c>
      <c r="AL41" s="58">
        <f>$Z$19</f>
        <v>3120000</v>
      </c>
      <c r="AM41" s="58">
        <f>$U$19</f>
        <v>12723000</v>
      </c>
      <c r="AN41" s="205">
        <f>AL41/AM41*100</f>
        <v>24.522518273991984</v>
      </c>
      <c r="AO41" s="205">
        <f>AN41*$AO$39</f>
        <v>35.263432446531034</v>
      </c>
      <c r="AP41" s="58">
        <f>AM41*AO41/100</f>
        <v>4486566.5101721436</v>
      </c>
    </row>
    <row r="42" spans="1:43" x14ac:dyDescent="0.2">
      <c r="A42" s="7" t="s">
        <v>39</v>
      </c>
      <c r="B42" s="6">
        <v>33803</v>
      </c>
      <c r="C42" s="6">
        <v>98013</v>
      </c>
      <c r="D42" s="6">
        <v>169423</v>
      </c>
      <c r="E42" s="6">
        <v>188885</v>
      </c>
      <c r="F42" s="6">
        <v>3193716</v>
      </c>
      <c r="G42" s="6">
        <v>27618</v>
      </c>
      <c r="H42" s="6">
        <v>5894950</v>
      </c>
      <c r="J42" s="36" t="str">
        <f t="shared" si="26"/>
        <v>Romania</v>
      </c>
      <c r="K42" s="39">
        <f t="shared" si="27"/>
        <v>0.57342301461420364</v>
      </c>
      <c r="L42" s="39">
        <f t="shared" si="28"/>
        <v>1.6626604127261468</v>
      </c>
      <c r="M42" s="39">
        <f t="shared" si="29"/>
        <v>2.8740362513676962</v>
      </c>
      <c r="N42" s="39">
        <f t="shared" si="30"/>
        <v>3.2041832415881393</v>
      </c>
      <c r="O42" s="214">
        <f t="shared" si="5"/>
        <v>0.4685027014648131</v>
      </c>
      <c r="P42" s="217"/>
      <c r="R42" s="80" t="str">
        <f t="shared" si="21"/>
        <v>Slovenia</v>
      </c>
      <c r="S42" s="82">
        <f t="shared" si="22"/>
        <v>695619</v>
      </c>
      <c r="T42" s="86">
        <f t="shared" si="8"/>
        <v>139123.80000000002</v>
      </c>
      <c r="U42" s="87">
        <f t="shared" si="8"/>
        <v>41737.14</v>
      </c>
      <c r="V42" s="87">
        <f t="shared" si="8"/>
        <v>97386.66</v>
      </c>
      <c r="W42" s="87">
        <f t="shared" si="8"/>
        <v>55649.520000000004</v>
      </c>
      <c r="X42" s="218">
        <f t="shared" si="8"/>
        <v>208685.69999999998</v>
      </c>
      <c r="Y42" s="86">
        <f t="shared" si="31"/>
        <v>38865</v>
      </c>
      <c r="Z42" s="87">
        <f t="shared" si="35"/>
        <v>7615</v>
      </c>
      <c r="AA42" s="87">
        <f t="shared" si="32"/>
        <v>15032</v>
      </c>
      <c r="AB42" s="87">
        <f t="shared" si="23"/>
        <v>21756</v>
      </c>
      <c r="AC42" s="218">
        <f t="shared" si="24"/>
        <v>52384</v>
      </c>
      <c r="AD42" s="93">
        <f t="shared" si="33"/>
        <v>27.935550926584806</v>
      </c>
      <c r="AE42" s="94">
        <f t="shared" si="36"/>
        <v>18.245140898489932</v>
      </c>
      <c r="AF42" s="94">
        <f t="shared" si="34"/>
        <v>15.435378931775665</v>
      </c>
      <c r="AG42" s="94">
        <f t="shared" si="25"/>
        <v>39.094676827401202</v>
      </c>
      <c r="AH42" s="221">
        <f t="shared" si="14"/>
        <v>25.101863711792426</v>
      </c>
      <c r="AI42" s="94"/>
      <c r="AK42" s="5" t="s">
        <v>132</v>
      </c>
      <c r="AL42" s="58">
        <f>$AA$19</f>
        <v>2120000</v>
      </c>
      <c r="AM42" s="58">
        <f>$V$19</f>
        <v>29687000.000000004</v>
      </c>
      <c r="AN42" s="205">
        <f>AL42/AM42*100</f>
        <v>7.1411729039646969</v>
      </c>
      <c r="AO42" s="205">
        <f>AN42*$AO$39</f>
        <v>10.269021536627166</v>
      </c>
      <c r="AP42" s="58">
        <f>AM42*AO42/100</f>
        <v>3048564.4235785073</v>
      </c>
    </row>
    <row r="43" spans="1:43" x14ac:dyDescent="0.2">
      <c r="A43" s="7" t="s">
        <v>40</v>
      </c>
      <c r="B43" s="6">
        <v>7615</v>
      </c>
      <c r="C43" s="6">
        <v>21756</v>
      </c>
      <c r="D43" s="6">
        <v>38865</v>
      </c>
      <c r="E43" s="6">
        <v>15032</v>
      </c>
      <c r="F43" s="6">
        <v>506510</v>
      </c>
      <c r="G43" s="6">
        <v>52384</v>
      </c>
      <c r="H43" s="6">
        <v>695619</v>
      </c>
      <c r="J43" s="36" t="str">
        <f t="shared" si="26"/>
        <v>Slovenia</v>
      </c>
      <c r="K43" s="39">
        <f t="shared" si="27"/>
        <v>1.0947084539093959</v>
      </c>
      <c r="L43" s="39">
        <f t="shared" si="28"/>
        <v>3.1275741461920963</v>
      </c>
      <c r="M43" s="39">
        <f t="shared" si="29"/>
        <v>5.5871101853169627</v>
      </c>
      <c r="N43" s="39">
        <f t="shared" si="30"/>
        <v>2.1609530504485934</v>
      </c>
      <c r="O43" s="214">
        <f t="shared" si="5"/>
        <v>7.530559113537727</v>
      </c>
      <c r="P43" s="217"/>
      <c r="R43" s="80" t="str">
        <f t="shared" si="21"/>
        <v>Slovakia</v>
      </c>
      <c r="S43" s="82">
        <f t="shared" si="22"/>
        <v>1690498</v>
      </c>
      <c r="T43" s="86">
        <f t="shared" si="8"/>
        <v>338099.60000000003</v>
      </c>
      <c r="U43" s="87">
        <f t="shared" si="8"/>
        <v>101429.87999999999</v>
      </c>
      <c r="V43" s="87">
        <f t="shared" si="8"/>
        <v>236669.72000000003</v>
      </c>
      <c r="W43" s="87">
        <f t="shared" si="8"/>
        <v>135239.84</v>
      </c>
      <c r="X43" s="218">
        <f t="shared" si="8"/>
        <v>507149.39999999997</v>
      </c>
      <c r="Y43" s="86">
        <f t="shared" si="31"/>
        <v>48163</v>
      </c>
      <c r="Z43" s="87">
        <f t="shared" si="35"/>
        <v>10007</v>
      </c>
      <c r="AA43" s="87">
        <f t="shared" si="32"/>
        <v>22789</v>
      </c>
      <c r="AB43" s="87">
        <f t="shared" si="23"/>
        <v>42643</v>
      </c>
      <c r="AC43" s="218">
        <f t="shared" si="24"/>
        <v>95567</v>
      </c>
      <c r="AD43" s="93">
        <f t="shared" si="33"/>
        <v>14.245210582916984</v>
      </c>
      <c r="AE43" s="94">
        <f t="shared" si="36"/>
        <v>9.8659290536477027</v>
      </c>
      <c r="AF43" s="94">
        <f t="shared" si="34"/>
        <v>9.6290307015193992</v>
      </c>
      <c r="AG43" s="94">
        <f t="shared" si="25"/>
        <v>31.5313889753197</v>
      </c>
      <c r="AH43" s="221">
        <f t="shared" si="14"/>
        <v>18.843954069550314</v>
      </c>
      <c r="AI43" s="94"/>
      <c r="AK43" s="5" t="s">
        <v>133</v>
      </c>
      <c r="AL43" s="58">
        <f>$AB$19</f>
        <v>8960000</v>
      </c>
      <c r="AM43" s="58">
        <f>$W$19</f>
        <v>16964000</v>
      </c>
      <c r="AN43" s="205">
        <f>AL43/AM43*100</f>
        <v>52.817731667059654</v>
      </c>
      <c r="AO43" s="205">
        <f>AN43*$AO$39</f>
        <v>75.952008346374527</v>
      </c>
      <c r="AP43" s="58">
        <f>AM43*AO43/100</f>
        <v>12884498.695878975</v>
      </c>
    </row>
    <row r="44" spans="1:43" x14ac:dyDescent="0.2">
      <c r="A44" s="7" t="s">
        <v>41</v>
      </c>
      <c r="B44" s="6">
        <v>10007</v>
      </c>
      <c r="C44" s="6">
        <v>42643</v>
      </c>
      <c r="D44" s="6">
        <v>48163</v>
      </c>
      <c r="E44" s="6">
        <v>22789</v>
      </c>
      <c r="F44" s="6">
        <v>1458095</v>
      </c>
      <c r="G44" s="6">
        <v>95567</v>
      </c>
      <c r="H44" s="6">
        <v>1690498</v>
      </c>
      <c r="J44" s="36" t="str">
        <f t="shared" si="26"/>
        <v>Slovakia</v>
      </c>
      <c r="K44" s="39">
        <f t="shared" si="27"/>
        <v>0.59195574321886213</v>
      </c>
      <c r="L44" s="39">
        <f t="shared" si="28"/>
        <v>2.5225111180255761</v>
      </c>
      <c r="M44" s="39">
        <f t="shared" si="29"/>
        <v>2.8490421165833975</v>
      </c>
      <c r="N44" s="39">
        <f t="shared" si="30"/>
        <v>1.348064298212716</v>
      </c>
      <c r="O44" s="214">
        <f t="shared" si="5"/>
        <v>5.653186220865094</v>
      </c>
      <c r="P44" s="217"/>
      <c r="R44" s="80" t="str">
        <f t="shared" si="21"/>
        <v>Finland</v>
      </c>
      <c r="S44" s="82">
        <f t="shared" si="22"/>
        <v>1680763</v>
      </c>
      <c r="T44" s="86">
        <f t="shared" si="8"/>
        <v>336152.60000000003</v>
      </c>
      <c r="U44" s="87">
        <f t="shared" si="8"/>
        <v>100845.78</v>
      </c>
      <c r="V44" s="87">
        <f t="shared" si="8"/>
        <v>235306.82000000004</v>
      </c>
      <c r="W44" s="87">
        <f t="shared" si="8"/>
        <v>134461.04</v>
      </c>
      <c r="X44" s="218">
        <f t="shared" si="8"/>
        <v>504228.89999999997</v>
      </c>
      <c r="Y44" s="86">
        <f t="shared" si="31"/>
        <v>247067</v>
      </c>
      <c r="Z44" s="87">
        <f t="shared" si="35"/>
        <v>9778</v>
      </c>
      <c r="AA44" s="87">
        <f t="shared" si="32"/>
        <v>9463</v>
      </c>
      <c r="AB44" s="87">
        <f t="shared" si="23"/>
        <v>43187</v>
      </c>
      <c r="AC44" s="218">
        <f t="shared" si="24"/>
        <v>168474</v>
      </c>
      <c r="AD44" s="93">
        <f t="shared" si="33"/>
        <v>73.498464685383951</v>
      </c>
      <c r="AE44" s="94">
        <f t="shared" si="36"/>
        <v>9.6959932284722274</v>
      </c>
      <c r="AF44" s="94">
        <f t="shared" si="34"/>
        <v>4.0215578961969731</v>
      </c>
      <c r="AG44" s="94">
        <f t="shared" si="25"/>
        <v>32.118597327523275</v>
      </c>
      <c r="AH44" s="221">
        <f t="shared" si="14"/>
        <v>33.412206242046025</v>
      </c>
      <c r="AI44" s="94"/>
      <c r="AK44" s="5" t="s">
        <v>228</v>
      </c>
      <c r="AL44" s="58">
        <f>$AC$19</f>
        <v>26130000</v>
      </c>
      <c r="AM44" s="58">
        <f>$X$19</f>
        <v>63615000</v>
      </c>
      <c r="AN44" s="205">
        <f>AL44/AM44*100</f>
        <v>41.075218108936575</v>
      </c>
      <c r="AO44" s="205">
        <f>AN44*$AO$39</f>
        <v>59.066249347939483</v>
      </c>
      <c r="AP44" s="58">
        <f>AM44*AO44/100</f>
        <v>37574994.522691704</v>
      </c>
    </row>
    <row r="45" spans="1:43" x14ac:dyDescent="0.2">
      <c r="A45" s="7" t="s">
        <v>42</v>
      </c>
      <c r="B45" s="6">
        <v>9778</v>
      </c>
      <c r="C45" s="6">
        <v>43187</v>
      </c>
      <c r="D45" s="6">
        <v>247067</v>
      </c>
      <c r="E45" s="6">
        <v>9463</v>
      </c>
      <c r="F45" s="6">
        <v>857327</v>
      </c>
      <c r="G45" s="6">
        <v>168474</v>
      </c>
      <c r="H45" s="6">
        <v>1680763</v>
      </c>
      <c r="J45" s="36" t="str">
        <f t="shared" si="26"/>
        <v>Finland</v>
      </c>
      <c r="K45" s="39">
        <f t="shared" si="27"/>
        <v>0.58175959370833363</v>
      </c>
      <c r="L45" s="39">
        <f t="shared" si="28"/>
        <v>2.5694877862018619</v>
      </c>
      <c r="M45" s="39">
        <f t="shared" si="29"/>
        <v>14.699692937076792</v>
      </c>
      <c r="N45" s="39">
        <f t="shared" si="30"/>
        <v>0.56301810546757636</v>
      </c>
      <c r="O45" s="214">
        <f t="shared" si="5"/>
        <v>10.023661872613806</v>
      </c>
      <c r="P45" s="217"/>
      <c r="R45" s="80" t="str">
        <f t="shared" si="21"/>
        <v>Sweden</v>
      </c>
      <c r="S45" s="82">
        <f t="shared" si="22"/>
        <v>4038272</v>
      </c>
      <c r="T45" s="86">
        <f t="shared" si="8"/>
        <v>807654.40000000002</v>
      </c>
      <c r="U45" s="87">
        <f t="shared" si="8"/>
        <v>242296.31999999998</v>
      </c>
      <c r="V45" s="87">
        <f t="shared" si="8"/>
        <v>565358.08000000007</v>
      </c>
      <c r="W45" s="87">
        <f t="shared" si="8"/>
        <v>323061.76000000001</v>
      </c>
      <c r="X45" s="218">
        <f t="shared" si="8"/>
        <v>1211481.5999999999</v>
      </c>
      <c r="Y45" s="86">
        <f t="shared" si="31"/>
        <v>454986</v>
      </c>
      <c r="Z45" s="87">
        <f t="shared" si="35"/>
        <v>172897</v>
      </c>
      <c r="AA45" s="87">
        <f t="shared" si="32"/>
        <v>67165</v>
      </c>
      <c r="AB45" s="87">
        <f t="shared" si="23"/>
        <v>252135</v>
      </c>
      <c r="AC45" s="218">
        <f t="shared" si="24"/>
        <v>446940</v>
      </c>
      <c r="AD45" s="93">
        <f t="shared" si="33"/>
        <v>56.334243953849558</v>
      </c>
      <c r="AE45" s="100">
        <f t="shared" si="36"/>
        <v>71.35766651346583</v>
      </c>
      <c r="AF45" s="94">
        <f t="shared" si="34"/>
        <v>11.880081381343306</v>
      </c>
      <c r="AG45" s="94">
        <f t="shared" si="25"/>
        <v>78.045448647342226</v>
      </c>
      <c r="AH45" s="221">
        <f t="shared" si="14"/>
        <v>36.892017179625348</v>
      </c>
      <c r="AI45" s="94"/>
    </row>
    <row r="46" spans="1:43" x14ac:dyDescent="0.2">
      <c r="A46" s="7" t="s">
        <v>43</v>
      </c>
      <c r="B46" s="6">
        <v>172897</v>
      </c>
      <c r="C46" s="6">
        <v>252135</v>
      </c>
      <c r="D46" s="6">
        <v>454986</v>
      </c>
      <c r="E46" s="6">
        <v>67165</v>
      </c>
      <c r="F46" s="6">
        <v>2157280</v>
      </c>
      <c r="G46" s="6">
        <v>446940</v>
      </c>
      <c r="H46" s="6">
        <v>4038272</v>
      </c>
      <c r="J46" s="36" t="str">
        <f t="shared" si="26"/>
        <v>Sweden</v>
      </c>
      <c r="K46" s="39">
        <f t="shared" si="27"/>
        <v>4.2814599908079494</v>
      </c>
      <c r="L46" s="39">
        <f t="shared" si="28"/>
        <v>6.2436358917873784</v>
      </c>
      <c r="M46" s="39">
        <f t="shared" si="29"/>
        <v>11.266848790769913</v>
      </c>
      <c r="N46" s="39">
        <f t="shared" si="30"/>
        <v>1.663211393388063</v>
      </c>
      <c r="O46" s="214">
        <f t="shared" si="5"/>
        <v>11.067605153887603</v>
      </c>
      <c r="P46" s="217"/>
      <c r="R46" s="81" t="str">
        <f t="shared" si="21"/>
        <v>United Kingdom</v>
      </c>
      <c r="S46" s="83">
        <f t="shared" si="22"/>
        <v>28685781</v>
      </c>
      <c r="T46" s="88">
        <f t="shared" si="8"/>
        <v>5737156.2000000002</v>
      </c>
      <c r="U46" s="89">
        <f t="shared" si="8"/>
        <v>1721146.8599999999</v>
      </c>
      <c r="V46" s="89">
        <f t="shared" si="8"/>
        <v>4016009.3400000003</v>
      </c>
      <c r="W46" s="89">
        <f t="shared" si="8"/>
        <v>2294862.48</v>
      </c>
      <c r="X46" s="220">
        <f t="shared" si="8"/>
        <v>8605734.2999999989</v>
      </c>
      <c r="Y46" s="88">
        <f t="shared" si="31"/>
        <v>1512558</v>
      </c>
      <c r="Z46" s="89">
        <f t="shared" si="35"/>
        <v>388539</v>
      </c>
      <c r="AA46" s="89">
        <f t="shared" si="32"/>
        <v>115350</v>
      </c>
      <c r="AB46" s="89">
        <f t="shared" si="23"/>
        <v>867974</v>
      </c>
      <c r="AC46" s="220">
        <f t="shared" si="24"/>
        <v>4298545</v>
      </c>
      <c r="AD46" s="95">
        <f t="shared" si="33"/>
        <v>26.36424645366985</v>
      </c>
      <c r="AE46" s="96">
        <f t="shared" si="36"/>
        <v>22.574424590357154</v>
      </c>
      <c r="AF46" s="96">
        <f t="shared" si="34"/>
        <v>2.8722542761815388</v>
      </c>
      <c r="AG46" s="96">
        <f t="shared" si="25"/>
        <v>37.822484247509244</v>
      </c>
      <c r="AH46" s="222">
        <f t="shared" si="14"/>
        <v>49.949775930218998</v>
      </c>
      <c r="AI46" s="94"/>
      <c r="AK46" s="114" t="s">
        <v>139</v>
      </c>
      <c r="AL46" s="58">
        <f>SUM(AL40:AL45)</f>
        <v>57510000</v>
      </c>
      <c r="AP46" s="58">
        <f>SUM(AP40:AP45)</f>
        <v>82699500</v>
      </c>
    </row>
    <row r="47" spans="1:43" x14ac:dyDescent="0.2">
      <c r="A47" s="7" t="s">
        <v>44</v>
      </c>
      <c r="B47" s="6">
        <v>388539</v>
      </c>
      <c r="C47" s="6">
        <v>867974</v>
      </c>
      <c r="D47" s="6">
        <v>1512558</v>
      </c>
      <c r="E47" s="6">
        <v>115350</v>
      </c>
      <c r="F47" s="6">
        <v>19354616</v>
      </c>
      <c r="G47" s="6">
        <v>4298545</v>
      </c>
      <c r="H47" s="6">
        <v>28685781</v>
      </c>
      <c r="J47" s="36" t="str">
        <f t="shared" si="26"/>
        <v>United Kingdom</v>
      </c>
      <c r="K47" s="39">
        <f t="shared" si="27"/>
        <v>1.3544654754214291</v>
      </c>
      <c r="L47" s="39">
        <f t="shared" si="28"/>
        <v>3.0257987398007393</v>
      </c>
      <c r="M47" s="39">
        <f t="shared" si="29"/>
        <v>5.2728492907339701</v>
      </c>
      <c r="N47" s="39">
        <f t="shared" si="30"/>
        <v>0.40211559866541546</v>
      </c>
      <c r="O47" s="214">
        <f t="shared" si="5"/>
        <v>14.9849327790657</v>
      </c>
      <c r="P47" s="217"/>
      <c r="AK47" s="114" t="s">
        <v>134</v>
      </c>
      <c r="AL47" s="58">
        <f>SUM($T$19:$X$19)</f>
        <v>165399000</v>
      </c>
      <c r="AP47" s="58">
        <f>AL47</f>
        <v>165399000</v>
      </c>
    </row>
    <row r="48" spans="1:43" x14ac:dyDescent="0.2">
      <c r="AK48" s="114" t="s">
        <v>138</v>
      </c>
      <c r="AL48" s="14">
        <f>AL46/AL47*100</f>
        <v>34.770464150327392</v>
      </c>
      <c r="AM48" s="5" t="s">
        <v>60</v>
      </c>
      <c r="AP48" s="14">
        <f>AP46/AP47*100</f>
        <v>50</v>
      </c>
      <c r="AQ48" s="5" t="s">
        <v>60</v>
      </c>
    </row>
    <row r="49" spans="1:42" x14ac:dyDescent="0.2">
      <c r="AK49" s="114"/>
      <c r="AL49" s="14"/>
      <c r="AP49" s="14"/>
    </row>
    <row r="50" spans="1:42" ht="15" x14ac:dyDescent="0.25">
      <c r="A50" s="57" t="s">
        <v>244</v>
      </c>
      <c r="AK50" s="114"/>
      <c r="AL50" s="14"/>
      <c r="AP50" s="14"/>
    </row>
    <row r="51" spans="1:42" x14ac:dyDescent="0.2">
      <c r="A51" s="10"/>
    </row>
    <row r="52" spans="1:42" ht="27" customHeight="1" x14ac:dyDescent="0.2">
      <c r="A52" s="330" t="s">
        <v>241</v>
      </c>
      <c r="B52" s="330"/>
      <c r="C52" s="330"/>
      <c r="D52" s="330"/>
      <c r="AN52" s="5" t="s">
        <v>226</v>
      </c>
    </row>
    <row r="54" spans="1:42" x14ac:dyDescent="0.2">
      <c r="A54" s="5" t="s">
        <v>243</v>
      </c>
      <c r="AJ54" s="231" t="s">
        <v>230</v>
      </c>
    </row>
    <row r="55" spans="1:42" x14ac:dyDescent="0.2">
      <c r="B55" s="37" t="s">
        <v>146</v>
      </c>
      <c r="C55" s="37" t="s">
        <v>240</v>
      </c>
      <c r="D55" s="5" t="s">
        <v>242</v>
      </c>
      <c r="AJ55" s="311" t="s">
        <v>231</v>
      </c>
    </row>
    <row r="56" spans="1:42" x14ac:dyDescent="0.2">
      <c r="A56" s="5" t="s">
        <v>239</v>
      </c>
      <c r="B56" s="37">
        <f>4.2+3.3</f>
        <v>7.5</v>
      </c>
      <c r="C56" s="37">
        <v>17</v>
      </c>
      <c r="D56" s="14">
        <f>B56/C56*100</f>
        <v>44.117647058823529</v>
      </c>
      <c r="AK56" s="58"/>
    </row>
    <row r="57" spans="1:42" x14ac:dyDescent="0.2">
      <c r="A57" s="5" t="s">
        <v>132</v>
      </c>
      <c r="B57" s="37">
        <v>8.3000000000000007</v>
      </c>
      <c r="C57" s="37">
        <v>13</v>
      </c>
      <c r="D57" s="14">
        <f t="shared" ref="D57:D59" si="37">B57/C57*100</f>
        <v>63.846153846153854</v>
      </c>
      <c r="AJ57" s="114"/>
    </row>
    <row r="58" spans="1:42" x14ac:dyDescent="0.2">
      <c r="A58" s="5" t="s">
        <v>133</v>
      </c>
      <c r="B58" s="37">
        <v>4.7</v>
      </c>
      <c r="C58" s="37">
        <v>5.0999999999999996</v>
      </c>
      <c r="D58" s="14">
        <f t="shared" si="37"/>
        <v>92.156862745098039</v>
      </c>
      <c r="AI58" s="52" t="s">
        <v>232</v>
      </c>
      <c r="AJ58" s="306" t="str">
        <f>AK40</f>
        <v>paper</v>
      </c>
      <c r="AK58" s="307">
        <f>(AO40*3+AO27)/4</f>
        <v>60.113832559837448</v>
      </c>
    </row>
    <row r="59" spans="1:42" x14ac:dyDescent="0.2">
      <c r="A59" s="5" t="s">
        <v>131</v>
      </c>
      <c r="B59" s="37">
        <f>2.5+0.77</f>
        <v>3.27</v>
      </c>
      <c r="C59" s="37">
        <f>3.3+1.1</f>
        <v>4.4000000000000004</v>
      </c>
      <c r="D59" s="14">
        <f t="shared" si="37"/>
        <v>74.318181818181813</v>
      </c>
      <c r="AI59" s="62"/>
      <c r="AJ59" s="116" t="str">
        <f>AK41</f>
        <v>metals</v>
      </c>
      <c r="AK59" s="308">
        <f>(AO41*3+AO28)/4</f>
        <v>36.390212958225241</v>
      </c>
    </row>
    <row r="60" spans="1:42" x14ac:dyDescent="0.2">
      <c r="AI60" s="62"/>
      <c r="AJ60" s="116" t="str">
        <f>AK42</f>
        <v>plastics</v>
      </c>
      <c r="AK60" s="308">
        <f>(AO42*3+AO29)/4</f>
        <v>10.597149927395259</v>
      </c>
    </row>
    <row r="61" spans="1:42" x14ac:dyDescent="0.2">
      <c r="AI61" s="50"/>
      <c r="AJ61" s="309" t="str">
        <f>AK43</f>
        <v>glass</v>
      </c>
      <c r="AK61" s="310">
        <f>(AO43*3+AO30)/4</f>
        <v>78.378920217715887</v>
      </c>
    </row>
    <row r="62" spans="1:42" ht="15" x14ac:dyDescent="0.25">
      <c r="A62" s="57" t="s">
        <v>247</v>
      </c>
      <c r="B62" s="236"/>
      <c r="C62" s="236"/>
      <c r="AJ62" s="114"/>
      <c r="AK62" s="87"/>
    </row>
    <row r="63" spans="1:42" x14ac:dyDescent="0.2">
      <c r="A63" s="5" t="s">
        <v>248</v>
      </c>
      <c r="B63" s="236"/>
      <c r="C63" s="236"/>
    </row>
    <row r="64" spans="1:42" x14ac:dyDescent="0.2">
      <c r="B64" s="5" t="s">
        <v>169</v>
      </c>
      <c r="C64" s="5" t="s">
        <v>170</v>
      </c>
    </row>
    <row r="65" spans="1:44" x14ac:dyDescent="0.2">
      <c r="B65" s="5" t="s">
        <v>6</v>
      </c>
      <c r="C65" s="5" t="s">
        <v>6</v>
      </c>
    </row>
    <row r="66" spans="1:44" ht="15" x14ac:dyDescent="0.25">
      <c r="A66" s="5" t="s">
        <v>61</v>
      </c>
      <c r="B66" s="5">
        <v>3934999.8398977751</v>
      </c>
      <c r="C66" s="5">
        <v>677009.16010222491</v>
      </c>
      <c r="AJ66" s="57" t="s">
        <v>233</v>
      </c>
    </row>
    <row r="67" spans="1:44" x14ac:dyDescent="0.2">
      <c r="A67" s="5" t="s">
        <v>60</v>
      </c>
      <c r="B67" s="14">
        <f>B66/SUM($B$66:$C$66)*100</f>
        <v>85.320732025843299</v>
      </c>
      <c r="C67" s="14">
        <f>C66/SUM($B$66:$C$66)*100</f>
        <v>14.679267974156703</v>
      </c>
    </row>
    <row r="68" spans="1:44" x14ac:dyDescent="0.2">
      <c r="AK68" s="114" t="s">
        <v>231</v>
      </c>
    </row>
    <row r="70" spans="1:44" ht="15" x14ac:dyDescent="0.25">
      <c r="A70" s="57" t="s">
        <v>250</v>
      </c>
      <c r="AI70" s="52"/>
      <c r="AJ70" s="306" t="str">
        <f>AJ58</f>
        <v>paper</v>
      </c>
      <c r="AK70" s="312">
        <f>AO40</f>
        <v>58.252477829942606</v>
      </c>
      <c r="AP70" s="205"/>
    </row>
    <row r="71" spans="1:44" x14ac:dyDescent="0.2">
      <c r="AI71" s="62"/>
      <c r="AJ71" s="116" t="str">
        <f>AJ59</f>
        <v>metals</v>
      </c>
      <c r="AK71" s="313">
        <f>AO41</f>
        <v>35.263432446531034</v>
      </c>
    </row>
    <row r="72" spans="1:44" x14ac:dyDescent="0.2">
      <c r="AI72" s="62"/>
      <c r="AJ72" s="116" t="str">
        <f>AJ60</f>
        <v>plastics</v>
      </c>
      <c r="AK72" s="313">
        <f>AO42</f>
        <v>10.269021536627166</v>
      </c>
    </row>
    <row r="73" spans="1:44" x14ac:dyDescent="0.2">
      <c r="AI73" s="50"/>
      <c r="AJ73" s="309" t="str">
        <f>AJ61</f>
        <v>glass</v>
      </c>
      <c r="AK73" s="314">
        <f>AO43</f>
        <v>75.952008346374527</v>
      </c>
    </row>
    <row r="74" spans="1:44" ht="15" thickBot="1" x14ac:dyDescent="0.25">
      <c r="A74" s="5" t="s">
        <v>61</v>
      </c>
      <c r="B74" s="5" t="s">
        <v>251</v>
      </c>
      <c r="C74" s="5" t="s">
        <v>252</v>
      </c>
      <c r="D74" s="5" t="s">
        <v>253</v>
      </c>
      <c r="F74" s="5" t="s">
        <v>257</v>
      </c>
    </row>
    <row r="75" spans="1:44" ht="15" thickBot="1" x14ac:dyDescent="0.25">
      <c r="A75" s="244" t="s">
        <v>254</v>
      </c>
      <c r="B75" s="245">
        <v>153010000</v>
      </c>
      <c r="C75" s="245">
        <v>87530000</v>
      </c>
      <c r="D75" s="14">
        <f>C75/B75*100</f>
        <v>57.205411411018893</v>
      </c>
      <c r="E75" s="5" t="s">
        <v>60</v>
      </c>
      <c r="F75" s="14">
        <f>D75-25</f>
        <v>32.205411411018893</v>
      </c>
      <c r="G75" s="5" t="s">
        <v>60</v>
      </c>
    </row>
    <row r="76" spans="1:44" ht="15.75" thickBot="1" x14ac:dyDescent="0.3">
      <c r="A76" s="246" t="s">
        <v>255</v>
      </c>
      <c r="B76" s="247">
        <v>151790000</v>
      </c>
      <c r="C76" s="247">
        <v>86320000</v>
      </c>
      <c r="D76" s="14">
        <f t="shared" ref="D76:D104" si="38">C76/B76*100</f>
        <v>56.868041372949477</v>
      </c>
      <c r="E76" s="5" t="s">
        <v>60</v>
      </c>
      <c r="AJ76" s="57" t="s">
        <v>236</v>
      </c>
    </row>
    <row r="77" spans="1:44" ht="15.75" thickBot="1" x14ac:dyDescent="0.3">
      <c r="A77" s="246" t="s">
        <v>18</v>
      </c>
      <c r="B77" s="247">
        <v>1856149</v>
      </c>
      <c r="C77" s="247">
        <v>38722</v>
      </c>
      <c r="D77" s="14">
        <f t="shared" si="38"/>
        <v>2.0861471789172099</v>
      </c>
      <c r="E77" s="5" t="s">
        <v>60</v>
      </c>
      <c r="F77" s="5" t="s">
        <v>258</v>
      </c>
      <c r="AJ77" s="57"/>
    </row>
    <row r="78" spans="1:44" ht="15" thickBot="1" x14ac:dyDescent="0.25">
      <c r="A78" s="246" t="s">
        <v>19</v>
      </c>
      <c r="B78" s="247">
        <v>3042883</v>
      </c>
      <c r="C78" s="247">
        <v>3042883</v>
      </c>
      <c r="D78" s="14">
        <f t="shared" si="38"/>
        <v>100</v>
      </c>
      <c r="E78" s="5" t="s">
        <v>60</v>
      </c>
      <c r="F78" s="14">
        <f>D75-5</f>
        <v>52.205411411018893</v>
      </c>
      <c r="G78" s="5" t="s">
        <v>60</v>
      </c>
      <c r="AJ78" s="233">
        <v>0.5</v>
      </c>
      <c r="AO78" s="114" t="s">
        <v>140</v>
      </c>
      <c r="AR78" s="5" t="s">
        <v>302</v>
      </c>
    </row>
    <row r="79" spans="1:44" ht="15.75" thickBot="1" x14ac:dyDescent="0.3">
      <c r="A79" s="246" t="s">
        <v>20</v>
      </c>
      <c r="B79" s="247">
        <v>3519313</v>
      </c>
      <c r="C79" s="247">
        <v>3027035</v>
      </c>
      <c r="D79" s="14">
        <f t="shared" si="38"/>
        <v>86.012099520559843</v>
      </c>
      <c r="E79" s="5" t="s">
        <v>60</v>
      </c>
      <c r="AJ79" s="57"/>
      <c r="AL79" s="114" t="s">
        <v>224</v>
      </c>
      <c r="AM79" s="5" t="s">
        <v>225</v>
      </c>
      <c r="AN79" s="5" t="s">
        <v>223</v>
      </c>
      <c r="AO79" s="39">
        <v>1.4380020865936356</v>
      </c>
      <c r="AP79" s="5" t="s">
        <v>229</v>
      </c>
    </row>
    <row r="80" spans="1:44" ht="15.75" thickBot="1" x14ac:dyDescent="0.3">
      <c r="A80" s="246" t="s">
        <v>21</v>
      </c>
      <c r="B80" s="247">
        <v>1935654</v>
      </c>
      <c r="C80" s="247">
        <v>56207</v>
      </c>
      <c r="D80" s="14">
        <f t="shared" si="38"/>
        <v>2.9037730916785751</v>
      </c>
      <c r="E80" s="5" t="s">
        <v>60</v>
      </c>
      <c r="AJ80" s="57"/>
      <c r="AK80" s="5" t="s">
        <v>130</v>
      </c>
      <c r="AL80" s="58">
        <f>$Y$19</f>
        <v>17180000</v>
      </c>
      <c r="AM80" s="58">
        <f>$T$19</f>
        <v>42410000</v>
      </c>
      <c r="AN80" s="205">
        <f>AL80/AM80*100</f>
        <v>40.509313841075219</v>
      </c>
      <c r="AO80" s="234">
        <f>AN80*$AO$79</f>
        <v>58.252477829942606</v>
      </c>
      <c r="AP80" s="58">
        <f>AM80*AO80/100</f>
        <v>24704875.847678661</v>
      </c>
      <c r="AR80" s="58">
        <f>AK58</f>
        <v>60.113832559837448</v>
      </c>
    </row>
    <row r="81" spans="1:44" ht="15.75" thickBot="1" x14ac:dyDescent="0.3">
      <c r="A81" s="246" t="s">
        <v>47</v>
      </c>
      <c r="B81" s="247">
        <v>20895402</v>
      </c>
      <c r="C81" s="247">
        <v>75256</v>
      </c>
      <c r="D81" s="14">
        <f t="shared" si="38"/>
        <v>0.36015578929756892</v>
      </c>
      <c r="E81" s="5" t="s">
        <v>60</v>
      </c>
      <c r="AJ81" s="57"/>
      <c r="AK81" s="5" t="s">
        <v>131</v>
      </c>
      <c r="AL81" s="58">
        <f>$Z$19</f>
        <v>3120000</v>
      </c>
      <c r="AM81" s="58">
        <f>$U$19</f>
        <v>12723000</v>
      </c>
      <c r="AN81" s="205">
        <f>AL81/AM81*100</f>
        <v>24.522518273991984</v>
      </c>
      <c r="AO81" s="234">
        <f t="shared" ref="AO81:AO84" si="39">AN81*$AO$79</f>
        <v>35.263432446531034</v>
      </c>
      <c r="AP81" s="58">
        <f>AM81*AO81/100</f>
        <v>4486566.5101721436</v>
      </c>
      <c r="AR81" s="58">
        <f t="shared" ref="AR81:AR83" si="40">AK59</f>
        <v>36.390212958225241</v>
      </c>
    </row>
    <row r="82" spans="1:44" ht="15.75" thickBot="1" x14ac:dyDescent="0.3">
      <c r="A82" s="246" t="s">
        <v>22</v>
      </c>
      <c r="B82" s="247">
        <v>277433</v>
      </c>
      <c r="C82" s="247">
        <v>265397</v>
      </c>
      <c r="D82" s="14">
        <f t="shared" si="38"/>
        <v>95.661655246491947</v>
      </c>
      <c r="E82" s="5" t="s">
        <v>60</v>
      </c>
      <c r="AJ82" s="57"/>
      <c r="AK82" s="5" t="s">
        <v>132</v>
      </c>
      <c r="AL82" s="58">
        <f>$AA$19</f>
        <v>2120000</v>
      </c>
      <c r="AM82" s="58">
        <f>$V$19</f>
        <v>29687000.000000004</v>
      </c>
      <c r="AN82" s="205">
        <f>AL82/AM82*100</f>
        <v>7.1411729039646969</v>
      </c>
      <c r="AO82" s="234">
        <f t="shared" si="39"/>
        <v>10.269021536627166</v>
      </c>
      <c r="AP82" s="58">
        <f>AM82*AO82/100</f>
        <v>3048564.4235785073</v>
      </c>
      <c r="AR82" s="58">
        <f t="shared" si="40"/>
        <v>10.597149927395259</v>
      </c>
    </row>
    <row r="83" spans="1:44" ht="15.75" thickBot="1" x14ac:dyDescent="0.3">
      <c r="A83" s="246" t="s">
        <v>23</v>
      </c>
      <c r="B83" s="247">
        <v>1102677</v>
      </c>
      <c r="C83" s="247">
        <v>1101610</v>
      </c>
      <c r="D83" s="14">
        <f t="shared" si="38"/>
        <v>99.903235489631143</v>
      </c>
      <c r="E83" s="5" t="s">
        <v>60</v>
      </c>
      <c r="AJ83" s="57"/>
      <c r="AK83" s="5" t="s">
        <v>133</v>
      </c>
      <c r="AL83" s="58">
        <f>$AB$19</f>
        <v>8960000</v>
      </c>
      <c r="AM83" s="58">
        <f>$W$19</f>
        <v>16964000</v>
      </c>
      <c r="AN83" s="205">
        <f>AL83/AM83*100</f>
        <v>52.817731667059654</v>
      </c>
      <c r="AO83" s="234">
        <f t="shared" si="39"/>
        <v>75.952008346374527</v>
      </c>
      <c r="AP83" s="58">
        <f>AM83*AO83/100</f>
        <v>12884498.695878975</v>
      </c>
      <c r="AR83" s="58">
        <f t="shared" si="40"/>
        <v>78.378920217715887</v>
      </c>
    </row>
    <row r="84" spans="1:44" ht="15.75" thickBot="1" x14ac:dyDescent="0.3">
      <c r="A84" s="246" t="s">
        <v>24</v>
      </c>
      <c r="B84" s="247">
        <v>4770638</v>
      </c>
      <c r="C84" s="247">
        <v>4770638</v>
      </c>
      <c r="D84" s="14">
        <f t="shared" si="38"/>
        <v>100</v>
      </c>
      <c r="E84" s="5" t="s">
        <v>60</v>
      </c>
      <c r="AJ84" s="57"/>
      <c r="AK84" s="5" t="s">
        <v>228</v>
      </c>
      <c r="AL84" s="58">
        <f>$AC$19</f>
        <v>26130000</v>
      </c>
      <c r="AM84" s="58">
        <f>$X$19</f>
        <v>63615000</v>
      </c>
      <c r="AN84" s="205">
        <f>AL84/AM84*100</f>
        <v>41.075218108936575</v>
      </c>
      <c r="AO84" s="234">
        <f t="shared" si="39"/>
        <v>59.066249347939483</v>
      </c>
      <c r="AP84" s="58">
        <f>AM84*AO84/100</f>
        <v>37574994.522691704</v>
      </c>
    </row>
    <row r="85" spans="1:44" ht="15.75" thickBot="1" x14ac:dyDescent="0.3">
      <c r="A85" s="246" t="s">
        <v>25</v>
      </c>
      <c r="B85" s="247">
        <v>13359452</v>
      </c>
      <c r="C85" s="247">
        <v>11545238</v>
      </c>
      <c r="D85" s="14">
        <f t="shared" si="38"/>
        <v>86.419996868135001</v>
      </c>
      <c r="E85" s="5" t="s">
        <v>60</v>
      </c>
      <c r="AJ85" s="57"/>
    </row>
    <row r="86" spans="1:44" ht="15.75" thickBot="1" x14ac:dyDescent="0.3">
      <c r="A86" s="246" t="s">
        <v>26</v>
      </c>
      <c r="B86" s="247">
        <v>21280659</v>
      </c>
      <c r="C86" s="247">
        <v>8704573</v>
      </c>
      <c r="D86" s="14">
        <f t="shared" si="38"/>
        <v>40.90368160121357</v>
      </c>
      <c r="E86" s="5" t="s">
        <v>60</v>
      </c>
      <c r="AJ86" s="57"/>
      <c r="AK86" s="114" t="s">
        <v>139</v>
      </c>
      <c r="AL86" s="58">
        <f>SUM(AL80:AL85)</f>
        <v>57510000</v>
      </c>
      <c r="AP86" s="58">
        <f>SUM(AP80:AP85)</f>
        <v>82699500</v>
      </c>
    </row>
    <row r="87" spans="1:44" ht="15.75" thickBot="1" x14ac:dyDescent="0.3">
      <c r="A87" s="246" t="s">
        <v>27</v>
      </c>
      <c r="B87" s="247">
        <v>1218238</v>
      </c>
      <c r="C87" s="247">
        <v>1210983</v>
      </c>
      <c r="D87" s="14">
        <f t="shared" si="38"/>
        <v>99.404467764098641</v>
      </c>
      <c r="E87" s="5" t="s">
        <v>60</v>
      </c>
      <c r="AJ87" s="57"/>
      <c r="AK87" s="114" t="s">
        <v>134</v>
      </c>
      <c r="AL87" s="58">
        <f>SUM($T$19:$X$19)</f>
        <v>165399000</v>
      </c>
      <c r="AP87" s="58">
        <f>AL87</f>
        <v>165399000</v>
      </c>
    </row>
    <row r="88" spans="1:44" ht="15.75" thickBot="1" x14ac:dyDescent="0.3">
      <c r="A88" s="246" t="s">
        <v>28</v>
      </c>
      <c r="B88" s="247">
        <v>22091789</v>
      </c>
      <c r="C88" s="247">
        <v>15030034</v>
      </c>
      <c r="D88" s="14">
        <f t="shared" si="38"/>
        <v>68.03448104632902</v>
      </c>
      <c r="E88" s="5" t="s">
        <v>60</v>
      </c>
      <c r="AJ88" s="57"/>
      <c r="AK88" s="114" t="s">
        <v>138</v>
      </c>
      <c r="AL88" s="14">
        <f>AL86/AL87*100</f>
        <v>34.770464150327392</v>
      </c>
      <c r="AM88" s="5" t="s">
        <v>60</v>
      </c>
      <c r="AP88" s="14">
        <f>AP86/AP87*100</f>
        <v>50</v>
      </c>
      <c r="AQ88" s="5" t="s">
        <v>60</v>
      </c>
    </row>
    <row r="89" spans="1:44" ht="15.75" thickBot="1" x14ac:dyDescent="0.3">
      <c r="A89" s="246" t="s">
        <v>29</v>
      </c>
      <c r="B89" s="247">
        <v>172669</v>
      </c>
      <c r="C89" s="247">
        <v>146926</v>
      </c>
      <c r="D89" s="14">
        <f t="shared" si="38"/>
        <v>85.091128112168363</v>
      </c>
      <c r="E89" s="5" t="s">
        <v>60</v>
      </c>
      <c r="AJ89" s="57"/>
    </row>
    <row r="90" spans="1:44" ht="15" thickBot="1" x14ac:dyDescent="0.25">
      <c r="A90" s="246" t="s">
        <v>30</v>
      </c>
      <c r="B90" s="247">
        <v>585569</v>
      </c>
      <c r="C90" s="247">
        <v>584092</v>
      </c>
      <c r="D90" s="14">
        <f t="shared" si="38"/>
        <v>99.747766702130747</v>
      </c>
      <c r="E90" s="5" t="s">
        <v>60</v>
      </c>
      <c r="AJ90" s="233">
        <v>0.6</v>
      </c>
      <c r="AO90" s="114" t="s">
        <v>140</v>
      </c>
    </row>
    <row r="91" spans="1:44" ht="15.75" thickBot="1" x14ac:dyDescent="0.3">
      <c r="A91" s="246" t="s">
        <v>31</v>
      </c>
      <c r="B91" s="247">
        <v>1064067</v>
      </c>
      <c r="C91" s="247">
        <v>1064067</v>
      </c>
      <c r="D91" s="14">
        <f t="shared" si="38"/>
        <v>100</v>
      </c>
      <c r="E91" s="5" t="s">
        <v>60</v>
      </c>
      <c r="AJ91" s="57"/>
      <c r="AL91" s="114" t="s">
        <v>224</v>
      </c>
      <c r="AM91" s="5" t="s">
        <v>225</v>
      </c>
      <c r="AN91" s="5" t="s">
        <v>223</v>
      </c>
      <c r="AO91" s="39">
        <v>1.7256025039123624</v>
      </c>
      <c r="AP91" s="5" t="s">
        <v>229</v>
      </c>
    </row>
    <row r="92" spans="1:44" ht="15.75" thickBot="1" x14ac:dyDescent="0.3">
      <c r="A92" s="246" t="s">
        <v>32</v>
      </c>
      <c r="B92" s="247">
        <v>154168</v>
      </c>
      <c r="C92" s="247">
        <v>30149</v>
      </c>
      <c r="D92" s="14">
        <f t="shared" si="38"/>
        <v>19.555938975662912</v>
      </c>
      <c r="E92" s="5" t="s">
        <v>60</v>
      </c>
      <c r="AJ92" s="57"/>
      <c r="AK92" s="5" t="s">
        <v>130</v>
      </c>
      <c r="AL92" s="58">
        <f>$Y$19</f>
        <v>17180000</v>
      </c>
      <c r="AM92" s="58">
        <f>$T$19</f>
        <v>42410000</v>
      </c>
      <c r="AN92" s="205">
        <f>AL92/AM92*100</f>
        <v>40.509313841075219</v>
      </c>
      <c r="AO92" s="234">
        <f>AN92*$AO$91</f>
        <v>69.902973395931113</v>
      </c>
      <c r="AP92" s="58">
        <f>AM92*AO92/100</f>
        <v>29645851.017214384</v>
      </c>
    </row>
    <row r="93" spans="1:44" ht="15.75" thickBot="1" x14ac:dyDescent="0.3">
      <c r="A93" s="246" t="s">
        <v>33</v>
      </c>
      <c r="B93" s="247">
        <v>3103759</v>
      </c>
      <c r="C93" s="247">
        <v>2672505</v>
      </c>
      <c r="D93" s="14">
        <f t="shared" si="38"/>
        <v>86.10542893310982</v>
      </c>
      <c r="E93" s="5" t="s">
        <v>60</v>
      </c>
      <c r="AJ93" s="57"/>
      <c r="AK93" s="5" t="s">
        <v>131</v>
      </c>
      <c r="AL93" s="58">
        <f>$Z$19</f>
        <v>3120000</v>
      </c>
      <c r="AM93" s="58">
        <f>$U$19</f>
        <v>12723000</v>
      </c>
      <c r="AN93" s="205">
        <f>AL93/AM93*100</f>
        <v>24.522518273991984</v>
      </c>
      <c r="AO93" s="234">
        <f t="shared" ref="AO93:AO96" si="41">AN93*$AO$91</f>
        <v>42.316118935837231</v>
      </c>
      <c r="AP93" s="58">
        <f>AM93*AO93/100</f>
        <v>5383879.812206571</v>
      </c>
    </row>
    <row r="94" spans="1:44" ht="15.75" thickBot="1" x14ac:dyDescent="0.3">
      <c r="A94" s="246" t="s">
        <v>34</v>
      </c>
      <c r="B94" s="247">
        <v>20964</v>
      </c>
      <c r="C94" s="247">
        <v>201555</v>
      </c>
      <c r="D94" s="14">
        <f t="shared" si="38"/>
        <v>961.43388666285057</v>
      </c>
      <c r="E94" s="5" t="s">
        <v>60</v>
      </c>
      <c r="AJ94" s="57"/>
      <c r="AK94" s="5" t="s">
        <v>132</v>
      </c>
      <c r="AL94" s="58">
        <f>$AA$19</f>
        <v>2120000</v>
      </c>
      <c r="AM94" s="58">
        <f>$V$19</f>
        <v>29687000.000000004</v>
      </c>
      <c r="AN94" s="205">
        <f>AL94/AM94*100</f>
        <v>7.1411729039646969</v>
      </c>
      <c r="AO94" s="234">
        <f t="shared" si="41"/>
        <v>12.322825843952597</v>
      </c>
      <c r="AP94" s="58">
        <f>AM94*AO94/100</f>
        <v>3658277.3082942083</v>
      </c>
    </row>
    <row r="95" spans="1:44" ht="15.75" thickBot="1" x14ac:dyDescent="0.3">
      <c r="A95" s="246" t="s">
        <v>35</v>
      </c>
      <c r="B95" s="247">
        <v>5885126</v>
      </c>
      <c r="C95" s="247">
        <v>276996</v>
      </c>
      <c r="D95" s="14">
        <f t="shared" si="38"/>
        <v>4.7067131612815087</v>
      </c>
      <c r="E95" s="5" t="s">
        <v>60</v>
      </c>
      <c r="AJ95" s="57"/>
      <c r="AK95" s="5" t="s">
        <v>133</v>
      </c>
      <c r="AL95" s="58">
        <f>$AB$19</f>
        <v>8960000</v>
      </c>
      <c r="AM95" s="58">
        <f>$W$19</f>
        <v>16964000</v>
      </c>
      <c r="AN95" s="205">
        <f>AL95/AM95*100</f>
        <v>52.817731667059654</v>
      </c>
      <c r="AO95" s="234">
        <f t="shared" si="41"/>
        <v>91.142410015649418</v>
      </c>
      <c r="AP95" s="58">
        <f>AM95*AO95/100</f>
        <v>15461398.435054768</v>
      </c>
    </row>
    <row r="96" spans="1:44" ht="15.75" thickBot="1" x14ac:dyDescent="0.3">
      <c r="A96" s="246" t="s">
        <v>36</v>
      </c>
      <c r="B96" s="247">
        <v>1224854</v>
      </c>
      <c r="C96" s="247">
        <v>15516</v>
      </c>
      <c r="D96" s="14">
        <f t="shared" si="38"/>
        <v>1.2667632223922198</v>
      </c>
      <c r="E96" s="5" t="s">
        <v>60</v>
      </c>
      <c r="AJ96" s="57"/>
      <c r="AK96" s="5" t="s">
        <v>228</v>
      </c>
      <c r="AL96" s="58">
        <f>$AC$19</f>
        <v>26130000</v>
      </c>
      <c r="AM96" s="58">
        <f>$X$19</f>
        <v>63615000</v>
      </c>
      <c r="AN96" s="205">
        <f>AL96/AM96*100</f>
        <v>41.075218108936575</v>
      </c>
      <c r="AO96" s="234">
        <f t="shared" si="41"/>
        <v>70.879499217527368</v>
      </c>
      <c r="AP96" s="58">
        <f>AM96*AO96/100</f>
        <v>45089993.42723003</v>
      </c>
    </row>
    <row r="97" spans="1:43" ht="15.75" thickBot="1" x14ac:dyDescent="0.3">
      <c r="A97" s="246" t="s">
        <v>37</v>
      </c>
      <c r="B97" s="247">
        <v>8079690</v>
      </c>
      <c r="C97" s="247">
        <v>7368687</v>
      </c>
      <c r="D97" s="14">
        <f t="shared" si="38"/>
        <v>91.200120301645242</v>
      </c>
      <c r="E97" s="5" t="s">
        <v>60</v>
      </c>
      <c r="AJ97" s="57"/>
    </row>
    <row r="98" spans="1:43" ht="15.75" thickBot="1" x14ac:dyDescent="0.3">
      <c r="A98" s="246" t="s">
        <v>38</v>
      </c>
      <c r="B98" s="247">
        <v>8136978</v>
      </c>
      <c r="C98" s="247">
        <v>5904662</v>
      </c>
      <c r="D98" s="14">
        <f t="shared" si="38"/>
        <v>72.565785479572384</v>
      </c>
      <c r="E98" s="5" t="s">
        <v>60</v>
      </c>
      <c r="AJ98" s="57"/>
      <c r="AK98" s="114" t="s">
        <v>139</v>
      </c>
      <c r="AL98" s="58">
        <f>SUM(AL92:AL97)</f>
        <v>57510000</v>
      </c>
      <c r="AP98" s="58">
        <f>SUM(AP92:AP97)</f>
        <v>99239399.999999955</v>
      </c>
    </row>
    <row r="99" spans="1:43" ht="15.75" thickBot="1" x14ac:dyDescent="0.3">
      <c r="A99" s="246" t="s">
        <v>39</v>
      </c>
      <c r="B99" s="247">
        <v>4308852</v>
      </c>
      <c r="C99" s="247">
        <v>4306754</v>
      </c>
      <c r="D99" s="14">
        <f t="shared" si="38"/>
        <v>99.951309536739714</v>
      </c>
      <c r="E99" s="5" t="s">
        <v>60</v>
      </c>
      <c r="AJ99" s="57"/>
      <c r="AK99" s="114" t="s">
        <v>134</v>
      </c>
      <c r="AL99" s="58">
        <f>SUM($T$19:$X$19)</f>
        <v>165399000</v>
      </c>
      <c r="AP99" s="58">
        <f>AL99</f>
        <v>165399000</v>
      </c>
    </row>
    <row r="100" spans="1:43" ht="15.75" thickBot="1" x14ac:dyDescent="0.3">
      <c r="A100" s="246" t="s">
        <v>40</v>
      </c>
      <c r="B100" s="247">
        <v>559734</v>
      </c>
      <c r="C100" s="247">
        <v>555342</v>
      </c>
      <c r="D100" s="14">
        <f t="shared" si="38"/>
        <v>99.215341572961449</v>
      </c>
      <c r="E100" s="5" t="s">
        <v>60</v>
      </c>
      <c r="AJ100" s="57"/>
      <c r="AK100" s="114" t="s">
        <v>138</v>
      </c>
      <c r="AL100" s="14">
        <f>AL98/AL99*100</f>
        <v>34.770464150327392</v>
      </c>
      <c r="AM100" s="5" t="s">
        <v>60</v>
      </c>
      <c r="AP100" s="14">
        <f>AP98/AP99*100</f>
        <v>59.999999999999979</v>
      </c>
      <c r="AQ100" s="5" t="s">
        <v>60</v>
      </c>
    </row>
    <row r="101" spans="1:43" ht="15.75" thickBot="1" x14ac:dyDescent="0.3">
      <c r="A101" s="246" t="s">
        <v>41</v>
      </c>
      <c r="B101" s="247">
        <v>1445831</v>
      </c>
      <c r="C101" s="247">
        <v>1275949</v>
      </c>
      <c r="D101" s="14">
        <f t="shared" si="38"/>
        <v>88.250217349053941</v>
      </c>
      <c r="E101" s="5" t="s">
        <v>60</v>
      </c>
      <c r="AJ101" s="57"/>
    </row>
    <row r="102" spans="1:43" ht="15" thickBot="1" x14ac:dyDescent="0.25">
      <c r="A102" s="246" t="s">
        <v>42</v>
      </c>
      <c r="B102" s="247">
        <v>1668444</v>
      </c>
      <c r="C102" s="247">
        <v>1104706</v>
      </c>
      <c r="D102" s="14">
        <f t="shared" si="38"/>
        <v>66.211751787893391</v>
      </c>
      <c r="E102" s="5" t="s">
        <v>60</v>
      </c>
      <c r="AJ102" s="233">
        <v>0.7</v>
      </c>
      <c r="AO102" s="114" t="s">
        <v>140</v>
      </c>
    </row>
    <row r="103" spans="1:43" ht="15.75" thickBot="1" x14ac:dyDescent="0.3">
      <c r="A103" s="246" t="s">
        <v>43</v>
      </c>
      <c r="B103" s="247">
        <v>2367466</v>
      </c>
      <c r="C103" s="247">
        <v>17013</v>
      </c>
      <c r="D103" s="14">
        <f t="shared" si="38"/>
        <v>0.71861644475570086</v>
      </c>
      <c r="E103" s="5" t="s">
        <v>60</v>
      </c>
      <c r="AJ103" s="57"/>
      <c r="AL103" s="114" t="s">
        <v>224</v>
      </c>
      <c r="AM103" s="5" t="s">
        <v>225</v>
      </c>
      <c r="AN103" s="5" t="s">
        <v>223</v>
      </c>
      <c r="AO103" s="39">
        <v>2.0662801558176156</v>
      </c>
      <c r="AP103" s="5" t="s">
        <v>229</v>
      </c>
    </row>
    <row r="104" spans="1:43" ht="15.75" thickBot="1" x14ac:dyDescent="0.3">
      <c r="A104" s="246" t="s">
        <v>44</v>
      </c>
      <c r="B104" s="247">
        <v>18695556</v>
      </c>
      <c r="C104" s="247">
        <v>13139034</v>
      </c>
      <c r="D104" s="14">
        <f t="shared" si="38"/>
        <v>70.278915481304765</v>
      </c>
      <c r="E104" s="5" t="s">
        <v>60</v>
      </c>
      <c r="AJ104" s="57"/>
      <c r="AK104" s="5" t="s">
        <v>130</v>
      </c>
      <c r="AL104" s="58">
        <f>$Y$19</f>
        <v>17180000</v>
      </c>
      <c r="AM104" s="58">
        <f>$T$19</f>
        <v>42410000</v>
      </c>
      <c r="AN104" s="205">
        <f>AL104/AM104*100</f>
        <v>40.509313841075219</v>
      </c>
      <c r="AO104" s="234">
        <f>AN104*$AO$103</f>
        <v>83.703591315601599</v>
      </c>
      <c r="AP104" s="58">
        <f>AM104*AO104/100</f>
        <v>35498693.076946639</v>
      </c>
    </row>
    <row r="105" spans="1:43" ht="15" x14ac:dyDescent="0.25">
      <c r="AJ105" s="57"/>
      <c r="AK105" s="5" t="s">
        <v>131</v>
      </c>
      <c r="AL105" s="58">
        <f>$Z$19</f>
        <v>3120000</v>
      </c>
      <c r="AM105" s="58">
        <f>$U$19</f>
        <v>12723000</v>
      </c>
      <c r="AN105" s="205">
        <f>AL105/AM105*100</f>
        <v>24.522518273991984</v>
      </c>
      <c r="AO105" s="234">
        <f t="shared" ref="AO105:AO108" si="42">AN105*$AO$103</f>
        <v>50.670392880224483</v>
      </c>
      <c r="AP105" s="58">
        <f>AM105*AO105/100</f>
        <v>6446794.086150961</v>
      </c>
    </row>
    <row r="106" spans="1:43" ht="15" x14ac:dyDescent="0.25">
      <c r="AJ106" s="57"/>
      <c r="AK106" s="5" t="s">
        <v>132</v>
      </c>
      <c r="AL106" s="58">
        <f>$AA$19</f>
        <v>2120000</v>
      </c>
      <c r="AM106" s="58">
        <f>$V$19</f>
        <v>29687000.000000004</v>
      </c>
      <c r="AN106" s="205">
        <f>AL106/AM106*100</f>
        <v>7.1411729039646969</v>
      </c>
      <c r="AO106" s="234">
        <f t="shared" si="42"/>
        <v>14.755663860724708</v>
      </c>
      <c r="AP106" s="58">
        <f>AM106*AO106/100</f>
        <v>4380513.9303333443</v>
      </c>
    </row>
    <row r="107" spans="1:43" ht="15" x14ac:dyDescent="0.25">
      <c r="AJ107" s="57"/>
      <c r="AK107" s="5" t="s">
        <v>133</v>
      </c>
      <c r="AL107" s="58">
        <f>$AB$19</f>
        <v>8960000</v>
      </c>
      <c r="AM107" s="58">
        <f>$W$19</f>
        <v>16964000</v>
      </c>
      <c r="AN107" s="205">
        <f>AL107/AM107*100</f>
        <v>52.817731667059654</v>
      </c>
      <c r="AO107" s="235">
        <f>AO95</f>
        <v>91.142410015649418</v>
      </c>
      <c r="AP107" s="58">
        <f>AM107*AO107/100</f>
        <v>15461398.435054768</v>
      </c>
    </row>
    <row r="108" spans="1:43" ht="15" x14ac:dyDescent="0.25">
      <c r="A108" s="57" t="s">
        <v>260</v>
      </c>
      <c r="B108" s="5" t="s">
        <v>262</v>
      </c>
      <c r="C108" s="5" t="s">
        <v>263</v>
      </c>
      <c r="D108" s="5" t="s">
        <v>264</v>
      </c>
      <c r="E108" s="5" t="s">
        <v>265</v>
      </c>
      <c r="F108" s="5" t="s">
        <v>266</v>
      </c>
      <c r="AJ108" s="57"/>
      <c r="AK108" s="5" t="s">
        <v>228</v>
      </c>
      <c r="AL108" s="58">
        <f>$AC$19</f>
        <v>26130000</v>
      </c>
      <c r="AM108" s="58">
        <f>$X$19</f>
        <v>63615000</v>
      </c>
      <c r="AN108" s="205">
        <f>AL108/AM108*100</f>
        <v>41.075218108936575</v>
      </c>
      <c r="AO108" s="234">
        <f t="shared" si="42"/>
        <v>84.872908074376014</v>
      </c>
      <c r="AP108" s="58">
        <f>AM108*AO108/100</f>
        <v>53991900.4715143</v>
      </c>
    </row>
    <row r="109" spans="1:43" ht="15.75" thickBot="1" x14ac:dyDescent="0.3">
      <c r="A109" s="246" t="s">
        <v>254</v>
      </c>
      <c r="B109" s="248">
        <v>3940000</v>
      </c>
      <c r="C109" s="248">
        <f>H18</f>
        <v>212050000</v>
      </c>
      <c r="D109" s="250">
        <v>0.03</v>
      </c>
      <c r="E109" s="248">
        <f>C109*D109</f>
        <v>6361500</v>
      </c>
      <c r="F109" s="249">
        <f>B109/E109*100</f>
        <v>61.935078204825913</v>
      </c>
      <c r="AJ109" s="57"/>
    </row>
    <row r="110" spans="1:43" ht="15.75" thickBot="1" x14ac:dyDescent="0.3">
      <c r="A110" s="246" t="s">
        <v>255</v>
      </c>
      <c r="B110" s="248">
        <v>3940000</v>
      </c>
      <c r="C110" s="248">
        <f t="shared" ref="C110:C138" si="43">H19</f>
        <v>212050000</v>
      </c>
      <c r="D110" s="250">
        <v>0.03</v>
      </c>
      <c r="E110" s="248">
        <f>C110*D110</f>
        <v>6361500</v>
      </c>
      <c r="F110" s="249">
        <f t="shared" ref="F110:F138" si="44">B110/E110*100</f>
        <v>61.935078204825913</v>
      </c>
      <c r="AJ110" s="57"/>
      <c r="AK110" s="114" t="s">
        <v>139</v>
      </c>
      <c r="AL110" s="58">
        <f>SUM(AL104:AL109)</f>
        <v>57510000</v>
      </c>
      <c r="AP110" s="58">
        <f>SUM(AP104:AP109)</f>
        <v>115779300.00000001</v>
      </c>
    </row>
    <row r="111" spans="1:43" ht="15.75" thickBot="1" x14ac:dyDescent="0.3">
      <c r="A111" s="246" t="s">
        <v>18</v>
      </c>
      <c r="B111" s="248">
        <v>205794</v>
      </c>
      <c r="C111" s="248">
        <f t="shared" si="43"/>
        <v>4084689</v>
      </c>
      <c r="D111" s="250">
        <v>0.03</v>
      </c>
      <c r="E111" s="248">
        <f>C111*D111</f>
        <v>122540.67</v>
      </c>
      <c r="F111" s="249">
        <f t="shared" si="44"/>
        <v>167.93934617788526</v>
      </c>
      <c r="AJ111" s="57"/>
      <c r="AK111" s="114" t="s">
        <v>134</v>
      </c>
      <c r="AL111" s="58">
        <f>SUM($T$19:$X$19)</f>
        <v>165399000</v>
      </c>
      <c r="AP111" s="58">
        <f>AL111</f>
        <v>165399000</v>
      </c>
    </row>
    <row r="112" spans="1:43" ht="15.75" thickBot="1" x14ac:dyDescent="0.3">
      <c r="A112" s="246" t="s">
        <v>19</v>
      </c>
      <c r="B112" s="248">
        <v>0</v>
      </c>
      <c r="C112" s="248">
        <f t="shared" si="43"/>
        <v>2396337</v>
      </c>
      <c r="D112" s="250">
        <v>0.03</v>
      </c>
      <c r="E112" s="248">
        <f t="shared" ref="E112:E138" si="45">C112*D112</f>
        <v>71890.11</v>
      </c>
      <c r="F112" s="249">
        <f t="shared" si="44"/>
        <v>0</v>
      </c>
      <c r="AJ112" s="57"/>
      <c r="AK112" s="114" t="s">
        <v>138</v>
      </c>
      <c r="AL112" s="14">
        <f>AL110/AL111*100</f>
        <v>34.770464150327392</v>
      </c>
      <c r="AM112" s="5" t="s">
        <v>60</v>
      </c>
      <c r="AP112" s="14">
        <f>AP110/AP111*100</f>
        <v>70</v>
      </c>
      <c r="AQ112" s="5" t="s">
        <v>60</v>
      </c>
    </row>
    <row r="113" spans="1:46" ht="15.75" thickBot="1" x14ac:dyDescent="0.3">
      <c r="A113" s="246" t="s">
        <v>20</v>
      </c>
      <c r="B113" s="248">
        <v>27923</v>
      </c>
      <c r="C113" s="248">
        <f t="shared" si="43"/>
        <v>3297532</v>
      </c>
      <c r="D113" s="250">
        <v>0.03</v>
      </c>
      <c r="E113" s="248">
        <f t="shared" si="45"/>
        <v>98925.959999999992</v>
      </c>
      <c r="F113" s="249">
        <f t="shared" si="44"/>
        <v>28.226160251565918</v>
      </c>
      <c r="AJ113" s="57"/>
      <c r="AK113" s="114"/>
      <c r="AL113" s="14"/>
      <c r="AP113" s="14"/>
    </row>
    <row r="114" spans="1:46" ht="15" thickBot="1" x14ac:dyDescent="0.25">
      <c r="A114" s="246" t="s">
        <v>21</v>
      </c>
      <c r="B114" s="248">
        <v>51883</v>
      </c>
      <c r="C114" s="248">
        <f t="shared" si="43"/>
        <v>2161272</v>
      </c>
      <c r="D114" s="250">
        <v>0.03</v>
      </c>
      <c r="E114" s="248">
        <f t="shared" si="45"/>
        <v>64838.159999999996</v>
      </c>
      <c r="F114" s="249">
        <f t="shared" si="44"/>
        <v>80.019235585957404</v>
      </c>
      <c r="AJ114" s="112" t="s">
        <v>303</v>
      </c>
      <c r="AK114" s="114"/>
      <c r="AL114" s="14"/>
      <c r="AM114" s="315" t="s">
        <v>130</v>
      </c>
      <c r="AN114" s="315" t="s">
        <v>306</v>
      </c>
      <c r="AO114" s="315" t="s">
        <v>132</v>
      </c>
      <c r="AP114" s="316" t="s">
        <v>133</v>
      </c>
    </row>
    <row r="115" spans="1:46" ht="15.75" thickBot="1" x14ac:dyDescent="0.3">
      <c r="A115" s="246" t="s">
        <v>261</v>
      </c>
      <c r="B115" s="248">
        <v>670517</v>
      </c>
      <c r="C115" s="248">
        <f t="shared" si="43"/>
        <v>36311611</v>
      </c>
      <c r="D115" s="250">
        <v>0.03</v>
      </c>
      <c r="E115" s="248">
        <f t="shared" si="45"/>
        <v>1089348.33</v>
      </c>
      <c r="F115" s="249">
        <f t="shared" si="44"/>
        <v>61.552120798679702</v>
      </c>
      <c r="AJ115" s="57"/>
      <c r="AK115" s="114">
        <v>2020</v>
      </c>
      <c r="AL115" s="14"/>
      <c r="AM115" s="317">
        <f>AR80</f>
        <v>60.113832559837448</v>
      </c>
      <c r="AN115" s="317">
        <f>AR81</f>
        <v>36.390212958225241</v>
      </c>
      <c r="AO115" s="317">
        <f>AR82</f>
        <v>10.597149927395259</v>
      </c>
      <c r="AP115" s="317">
        <f>AR83</f>
        <v>78.378920217715887</v>
      </c>
    </row>
    <row r="116" spans="1:46" ht="15.75" thickBot="1" x14ac:dyDescent="0.3">
      <c r="A116" s="246" t="s">
        <v>22</v>
      </c>
      <c r="B116" s="248">
        <v>1955</v>
      </c>
      <c r="C116" s="248">
        <f t="shared" si="43"/>
        <v>407353</v>
      </c>
      <c r="D116" s="250">
        <v>0.03</v>
      </c>
      <c r="E116" s="248">
        <f t="shared" si="45"/>
        <v>12220.59</v>
      </c>
      <c r="F116" s="249">
        <f t="shared" si="44"/>
        <v>15.99759095100973</v>
      </c>
      <c r="AJ116" s="57"/>
      <c r="AK116" s="114">
        <v>2025</v>
      </c>
      <c r="AL116" s="14" t="s">
        <v>304</v>
      </c>
      <c r="AM116" s="317">
        <f>MAX(AO80,AR80)</f>
        <v>60.113832559837448</v>
      </c>
      <c r="AN116" s="317">
        <f>MAX(AO81,AR81)</f>
        <v>36.390212958225241</v>
      </c>
      <c r="AO116" s="317">
        <f>MAX(AO82,AR82)</f>
        <v>10.597149927395259</v>
      </c>
      <c r="AP116" s="317">
        <f>MAX(AO83,AR83)</f>
        <v>78.378920217715887</v>
      </c>
    </row>
    <row r="117" spans="1:46" ht="15.75" thickBot="1" x14ac:dyDescent="0.3">
      <c r="A117" s="246" t="s">
        <v>23</v>
      </c>
      <c r="B117" s="248">
        <v>10156</v>
      </c>
      <c r="C117" s="248">
        <f t="shared" si="43"/>
        <v>1722523</v>
      </c>
      <c r="D117" s="250">
        <v>0.03</v>
      </c>
      <c r="E117" s="248">
        <f t="shared" si="45"/>
        <v>51675.689999999995</v>
      </c>
      <c r="F117" s="249">
        <f t="shared" si="44"/>
        <v>19.65334183249416</v>
      </c>
      <c r="AJ117" s="57"/>
      <c r="AK117" s="114">
        <v>2025</v>
      </c>
      <c r="AL117" s="14" t="s">
        <v>305</v>
      </c>
      <c r="AM117" s="317">
        <f>AO92</f>
        <v>69.902973395931113</v>
      </c>
      <c r="AN117" s="317">
        <f>AO93</f>
        <v>42.316118935837231</v>
      </c>
      <c r="AO117" s="317">
        <f>AO94</f>
        <v>12.322825843952597</v>
      </c>
      <c r="AP117" s="317">
        <f>AO95</f>
        <v>91.142410015649418</v>
      </c>
    </row>
    <row r="118" spans="1:46" ht="15.75" thickBot="1" x14ac:dyDescent="0.3">
      <c r="A118" s="246" t="s">
        <v>24</v>
      </c>
      <c r="B118" s="248">
        <v>0</v>
      </c>
      <c r="C118" s="248">
        <f t="shared" si="43"/>
        <v>5197519</v>
      </c>
      <c r="D118" s="250">
        <v>0.03</v>
      </c>
      <c r="E118" s="248">
        <f t="shared" si="45"/>
        <v>155925.57</v>
      </c>
      <c r="F118" s="249">
        <f t="shared" si="44"/>
        <v>0</v>
      </c>
      <c r="AJ118" s="57"/>
      <c r="AK118" s="114">
        <v>2030</v>
      </c>
      <c r="AL118" s="14" t="s">
        <v>304</v>
      </c>
      <c r="AM118" s="317">
        <f>AO92</f>
        <v>69.902973395931113</v>
      </c>
      <c r="AN118" s="317">
        <f>AO93</f>
        <v>42.316118935837231</v>
      </c>
      <c r="AO118" s="317">
        <f>AO94</f>
        <v>12.322825843952597</v>
      </c>
      <c r="AP118" s="317">
        <f>AO95</f>
        <v>91.142410015649418</v>
      </c>
    </row>
    <row r="119" spans="1:46" ht="15.75" thickBot="1" x14ac:dyDescent="0.3">
      <c r="A119" s="246" t="s">
        <v>25</v>
      </c>
      <c r="B119" s="248">
        <v>192053</v>
      </c>
      <c r="C119" s="248">
        <f t="shared" si="43"/>
        <v>22824799</v>
      </c>
      <c r="D119" s="250">
        <v>0.03</v>
      </c>
      <c r="E119" s="248">
        <f t="shared" si="45"/>
        <v>684743.97</v>
      </c>
      <c r="F119" s="249">
        <f t="shared" si="44"/>
        <v>28.047417489488808</v>
      </c>
      <c r="AJ119" s="57"/>
      <c r="AK119" s="114">
        <v>2030</v>
      </c>
      <c r="AL119" s="14" t="s">
        <v>305</v>
      </c>
      <c r="AM119" s="317">
        <f>AO104</f>
        <v>83.703591315601599</v>
      </c>
      <c r="AN119" s="317">
        <f>AO105</f>
        <v>50.670392880224483</v>
      </c>
      <c r="AO119" s="317">
        <f>AO106</f>
        <v>14.755663860724708</v>
      </c>
      <c r="AP119" s="317">
        <f>AO107</f>
        <v>91.142410015649418</v>
      </c>
    </row>
    <row r="120" spans="1:46" ht="15.75" thickBot="1" x14ac:dyDescent="0.3">
      <c r="A120" s="246" t="s">
        <v>26</v>
      </c>
      <c r="B120" s="248">
        <v>624775</v>
      </c>
      <c r="C120" s="248">
        <f t="shared" si="43"/>
        <v>26617828</v>
      </c>
      <c r="D120" s="250">
        <v>0.03</v>
      </c>
      <c r="E120" s="248">
        <f t="shared" si="45"/>
        <v>798534.84</v>
      </c>
      <c r="F120" s="249">
        <f t="shared" si="44"/>
        <v>78.240167955602288</v>
      </c>
      <c r="AJ120" s="57"/>
      <c r="AK120" s="114"/>
      <c r="AL120" s="14"/>
      <c r="AP120" s="14"/>
    </row>
    <row r="121" spans="1:46" ht="15.75" thickBot="1" x14ac:dyDescent="0.3">
      <c r="A121" s="246" t="s">
        <v>27</v>
      </c>
      <c r="B121" s="248">
        <v>0</v>
      </c>
      <c r="C121" s="248">
        <f t="shared" si="43"/>
        <v>0</v>
      </c>
      <c r="D121" s="250">
        <v>0.03</v>
      </c>
      <c r="E121" s="248">
        <f t="shared" si="45"/>
        <v>0</v>
      </c>
      <c r="F121" s="249"/>
      <c r="AJ121" s="57"/>
      <c r="AK121" s="114"/>
      <c r="AL121" s="14"/>
      <c r="AP121" s="14"/>
    </row>
    <row r="122" spans="1:46" ht="15.75" thickBot="1" x14ac:dyDescent="0.3">
      <c r="A122" s="246" t="s">
        <v>28</v>
      </c>
      <c r="B122" s="248">
        <v>691888</v>
      </c>
      <c r="C122" s="248">
        <f t="shared" si="43"/>
        <v>32473736</v>
      </c>
      <c r="D122" s="250">
        <v>0.03</v>
      </c>
      <c r="E122" s="248">
        <f t="shared" si="45"/>
        <v>974212.08</v>
      </c>
      <c r="F122" s="249">
        <f t="shared" si="44"/>
        <v>71.020264909874655</v>
      </c>
      <c r="AJ122" s="57"/>
      <c r="AK122" s="114"/>
      <c r="AL122" s="14"/>
      <c r="AP122" s="14"/>
    </row>
    <row r="123" spans="1:46" ht="15.75" thickBot="1" x14ac:dyDescent="0.3">
      <c r="A123" s="246" t="s">
        <v>29</v>
      </c>
      <c r="B123" s="248">
        <v>7769</v>
      </c>
      <c r="C123" s="248">
        <f t="shared" si="43"/>
        <v>414830</v>
      </c>
      <c r="D123" s="250">
        <v>0.03</v>
      </c>
      <c r="E123" s="248">
        <f t="shared" si="45"/>
        <v>12444.9</v>
      </c>
      <c r="F123" s="249">
        <f t="shared" si="44"/>
        <v>62.427179005054278</v>
      </c>
      <c r="AJ123" s="57"/>
      <c r="AK123" s="114"/>
      <c r="AL123" s="14"/>
      <c r="AP123" s="14"/>
    </row>
    <row r="124" spans="1:46" ht="15.75" thickBot="1" x14ac:dyDescent="0.3">
      <c r="A124" s="246" t="s">
        <v>30</v>
      </c>
      <c r="B124" s="248">
        <v>0</v>
      </c>
      <c r="C124" s="248">
        <f t="shared" si="43"/>
        <v>577311</v>
      </c>
      <c r="D124" s="250">
        <v>0.03</v>
      </c>
      <c r="E124" s="248">
        <f t="shared" si="45"/>
        <v>17319.329999999998</v>
      </c>
      <c r="F124" s="249">
        <f t="shared" si="44"/>
        <v>0</v>
      </c>
      <c r="AJ124" s="57" t="s">
        <v>237</v>
      </c>
      <c r="AK124" s="114"/>
      <c r="AL124" s="14"/>
      <c r="AP124" s="14"/>
    </row>
    <row r="125" spans="1:46" ht="15.75" thickBot="1" x14ac:dyDescent="0.3">
      <c r="A125" s="246" t="s">
        <v>31</v>
      </c>
      <c r="B125" s="248">
        <v>9610</v>
      </c>
      <c r="C125" s="248">
        <f t="shared" si="43"/>
        <v>1246190</v>
      </c>
      <c r="D125" s="250">
        <v>0.03</v>
      </c>
      <c r="E125" s="248">
        <f t="shared" si="45"/>
        <v>37385.699999999997</v>
      </c>
      <c r="F125" s="249">
        <f t="shared" si="44"/>
        <v>25.705015554075487</v>
      </c>
      <c r="AJ125" s="57"/>
      <c r="AK125" s="114"/>
      <c r="AL125" s="331" t="s">
        <v>245</v>
      </c>
      <c r="AM125" s="331"/>
      <c r="AN125" s="331"/>
      <c r="AO125" s="332" t="s">
        <v>249</v>
      </c>
      <c r="AP125" s="332"/>
      <c r="AQ125" s="332"/>
      <c r="AR125" s="332" t="s">
        <v>246</v>
      </c>
      <c r="AS125" s="332"/>
      <c r="AT125" s="332"/>
    </row>
    <row r="126" spans="1:46" ht="15.75" thickBot="1" x14ac:dyDescent="0.3">
      <c r="A126" s="246" t="s">
        <v>32</v>
      </c>
      <c r="B126" s="248">
        <v>5386</v>
      </c>
      <c r="C126" s="248">
        <f t="shared" si="43"/>
        <v>244098</v>
      </c>
      <c r="D126" s="250">
        <v>0.03</v>
      </c>
      <c r="E126" s="248">
        <f t="shared" si="45"/>
        <v>7322.94</v>
      </c>
      <c r="F126" s="249">
        <f t="shared" si="44"/>
        <v>73.54969452159925</v>
      </c>
      <c r="AJ126" s="57"/>
      <c r="AL126" s="52">
        <v>2020</v>
      </c>
      <c r="AM126" s="54">
        <v>2025</v>
      </c>
      <c r="AN126" s="53">
        <v>2030</v>
      </c>
      <c r="AO126" s="52">
        <v>2020</v>
      </c>
      <c r="AP126" s="54">
        <v>2025</v>
      </c>
      <c r="AQ126" s="53">
        <v>2030</v>
      </c>
      <c r="AR126" s="52">
        <f>AO126</f>
        <v>2020</v>
      </c>
      <c r="AS126" s="54">
        <f>AP126</f>
        <v>2025</v>
      </c>
      <c r="AT126" s="53">
        <f>AQ126</f>
        <v>2030</v>
      </c>
    </row>
    <row r="127" spans="1:46" ht="15.75" thickBot="1" x14ac:dyDescent="0.3">
      <c r="A127" s="246" t="s">
        <v>33</v>
      </c>
      <c r="B127" s="248">
        <v>2940</v>
      </c>
      <c r="C127" s="248">
        <f t="shared" si="43"/>
        <v>2860947</v>
      </c>
      <c r="D127" s="250">
        <v>0.03</v>
      </c>
      <c r="E127" s="248">
        <f t="shared" si="45"/>
        <v>85828.41</v>
      </c>
      <c r="F127" s="249">
        <f t="shared" si="44"/>
        <v>3.4254391989785202</v>
      </c>
      <c r="AJ127" s="57"/>
      <c r="AK127" s="114" t="str">
        <f>AK104</f>
        <v>paper</v>
      </c>
      <c r="AL127" s="240">
        <v>85</v>
      </c>
      <c r="AM127" s="242">
        <v>90</v>
      </c>
      <c r="AN127" s="242">
        <v>90</v>
      </c>
      <c r="AO127" s="240">
        <f>$AK$19</f>
        <v>40.509313841075219</v>
      </c>
      <c r="AP127" s="242">
        <f t="shared" ref="AP127:AQ127" si="46">$AK$19</f>
        <v>40.509313841075219</v>
      </c>
      <c r="AQ127" s="242">
        <f t="shared" si="46"/>
        <v>40.509313841075219</v>
      </c>
      <c r="AR127" s="240">
        <f>(AL127*$D$56+AO127*(100-$D$56))/100</f>
        <v>60.137557734718506</v>
      </c>
      <c r="AS127" s="242">
        <f t="shared" ref="AS127:AT127" si="47">(AM127*$D$56+AP127*(100-$D$56))/100</f>
        <v>62.343440087659673</v>
      </c>
      <c r="AT127" s="243">
        <f t="shared" si="47"/>
        <v>62.343440087659673</v>
      </c>
    </row>
    <row r="128" spans="1:46" ht="15.75" thickBot="1" x14ac:dyDescent="0.3">
      <c r="A128" s="246" t="s">
        <v>34</v>
      </c>
      <c r="B128" s="248">
        <v>3829</v>
      </c>
      <c r="C128" s="248">
        <f t="shared" si="43"/>
        <v>138099</v>
      </c>
      <c r="D128" s="250">
        <v>0.03</v>
      </c>
      <c r="E128" s="248">
        <f t="shared" si="45"/>
        <v>4142.97</v>
      </c>
      <c r="F128" s="249">
        <f t="shared" si="44"/>
        <v>92.421620238621088</v>
      </c>
      <c r="AJ128" s="57"/>
      <c r="AK128" s="114" t="str">
        <f>AK105</f>
        <v>metals</v>
      </c>
      <c r="AL128" s="237">
        <f>(85*$C$67+70*$B$67)/100</f>
        <v>72.2018901961235</v>
      </c>
      <c r="AM128" s="40">
        <f>(90*$C$67+80*$B$67)/100</f>
        <v>81.467926797415672</v>
      </c>
      <c r="AN128" s="40">
        <f>(90*$C$67+90*$B$67)/100</f>
        <v>90</v>
      </c>
      <c r="AO128" s="237">
        <f>$AK$20</f>
        <v>24.522518273991984</v>
      </c>
      <c r="AP128" s="40">
        <f t="shared" ref="AP128:AQ128" si="48">$AK$20</f>
        <v>24.522518273991984</v>
      </c>
      <c r="AQ128" s="40">
        <f t="shared" si="48"/>
        <v>24.522518273991984</v>
      </c>
      <c r="AR128" s="237">
        <f>(AL128*$D$59+AO128*(100-$D$59))/100</f>
        <v>59.956960588848816</v>
      </c>
      <c r="AS128" s="40">
        <f t="shared" ref="AS128:AT128" si="49">(AM128*$D$59+AP128*(100-$D$59))/100</f>
        <v>66.843310517536409</v>
      </c>
      <c r="AT128" s="241">
        <f t="shared" si="49"/>
        <v>73.184192193093395</v>
      </c>
    </row>
    <row r="129" spans="1:46" ht="15.75" thickBot="1" x14ac:dyDescent="0.3">
      <c r="A129" s="246" t="s">
        <v>35</v>
      </c>
      <c r="B129" s="248">
        <v>299174</v>
      </c>
      <c r="C129" s="248">
        <f t="shared" si="43"/>
        <v>8552061</v>
      </c>
      <c r="D129" s="250">
        <v>0.03</v>
      </c>
      <c r="E129" s="248">
        <f t="shared" si="45"/>
        <v>256561.83</v>
      </c>
      <c r="F129" s="249">
        <f t="shared" si="44"/>
        <v>116.60892814804136</v>
      </c>
      <c r="AJ129" s="57"/>
      <c r="AK129" s="114" t="str">
        <f>AK106</f>
        <v>plastics</v>
      </c>
      <c r="AL129" s="237">
        <v>45</v>
      </c>
      <c r="AM129" s="40">
        <v>60</v>
      </c>
      <c r="AN129" s="40">
        <v>60</v>
      </c>
      <c r="AO129" s="237">
        <f>$AK$21</f>
        <v>7.1411729039646969</v>
      </c>
      <c r="AP129" s="40">
        <f t="shared" ref="AP129:AQ129" si="50">$AK$21</f>
        <v>7.1411729039646969</v>
      </c>
      <c r="AQ129" s="40">
        <f t="shared" si="50"/>
        <v>7.1411729039646969</v>
      </c>
      <c r="AR129" s="237">
        <f>(AL129*$D$57+AO129*(100-$D$57))/100</f>
        <v>31.312577896048779</v>
      </c>
      <c r="AS129" s="40">
        <f t="shared" ref="AS129" si="51">(AM129*$D$57+AP129*(100-$D$57))/100</f>
        <v>40.889500972971859</v>
      </c>
      <c r="AT129" s="241">
        <f>(AN129*$D$57+AQ129*(100-$D$57))/100</f>
        <v>40.889500972971859</v>
      </c>
    </row>
    <row r="130" spans="1:46" ht="15.75" thickBot="1" x14ac:dyDescent="0.3">
      <c r="A130" s="246" t="s">
        <v>36</v>
      </c>
      <c r="B130" s="248">
        <v>197204</v>
      </c>
      <c r="C130" s="248">
        <f t="shared" si="43"/>
        <v>3477266</v>
      </c>
      <c r="D130" s="250">
        <v>0.03</v>
      </c>
      <c r="E130" s="248">
        <f t="shared" si="45"/>
        <v>104317.98</v>
      </c>
      <c r="F130" s="249">
        <f t="shared" si="44"/>
        <v>189.04123718653295</v>
      </c>
      <c r="AJ130" s="57"/>
      <c r="AK130" s="114" t="str">
        <f>AK107</f>
        <v>glass</v>
      </c>
      <c r="AL130" s="238">
        <v>70</v>
      </c>
      <c r="AM130" s="239">
        <v>80</v>
      </c>
      <c r="AN130" s="239">
        <v>90</v>
      </c>
      <c r="AO130" s="238">
        <f>$AK$22</f>
        <v>52.817731667059654</v>
      </c>
      <c r="AP130" s="239">
        <f t="shared" ref="AP130:AQ130" si="52">$AK$22</f>
        <v>52.817731667059654</v>
      </c>
      <c r="AQ130" s="239">
        <f t="shared" si="52"/>
        <v>52.817731667059654</v>
      </c>
      <c r="AR130" s="238">
        <f>(AL130*$D$58+AO130*(100-$D$58))/100</f>
        <v>68.652371111141932</v>
      </c>
      <c r="AS130" s="239">
        <f t="shared" ref="AS130:AT130" si="53">(AM130*$D$58+AP130*(100-$D$58))/100</f>
        <v>77.868057385651738</v>
      </c>
      <c r="AT130" s="111">
        <f t="shared" si="53"/>
        <v>87.083743660161545</v>
      </c>
    </row>
    <row r="131" spans="1:46" ht="15" thickBot="1" x14ac:dyDescent="0.25">
      <c r="A131" s="246" t="s">
        <v>37</v>
      </c>
      <c r="B131" s="248">
        <v>0</v>
      </c>
      <c r="C131" s="248">
        <f t="shared" si="43"/>
        <v>8889685</v>
      </c>
      <c r="D131" s="250">
        <v>0.03</v>
      </c>
      <c r="E131" s="248">
        <f t="shared" si="45"/>
        <v>266690.55</v>
      </c>
      <c r="F131" s="249">
        <f t="shared" si="44"/>
        <v>0</v>
      </c>
    </row>
    <row r="132" spans="1:46" ht="15.75" thickBot="1" x14ac:dyDescent="0.25">
      <c r="A132" s="246" t="s">
        <v>38</v>
      </c>
      <c r="B132" s="248">
        <v>1373</v>
      </c>
      <c r="C132" s="248">
        <f t="shared" si="43"/>
        <v>5463649</v>
      </c>
      <c r="D132" s="250">
        <v>0.03</v>
      </c>
      <c r="E132" s="248">
        <f t="shared" si="45"/>
        <v>163909.47</v>
      </c>
      <c r="F132" s="249">
        <f t="shared" si="44"/>
        <v>0.83765751911710784</v>
      </c>
      <c r="AJ132" s="232"/>
    </row>
    <row r="133" spans="1:46" ht="15.75" thickBot="1" x14ac:dyDescent="0.3">
      <c r="A133" s="246" t="s">
        <v>39</v>
      </c>
      <c r="B133" s="248">
        <v>127466</v>
      </c>
      <c r="C133" s="248">
        <f t="shared" si="43"/>
        <v>5894950</v>
      </c>
      <c r="D133" s="250">
        <v>0.03</v>
      </c>
      <c r="E133" s="248">
        <f t="shared" si="45"/>
        <v>176848.5</v>
      </c>
      <c r="F133" s="249">
        <f t="shared" si="44"/>
        <v>72.076381761790458</v>
      </c>
      <c r="AJ133" s="57" t="s">
        <v>238</v>
      </c>
    </row>
    <row r="134" spans="1:46" ht="15.75" thickBot="1" x14ac:dyDescent="0.3">
      <c r="A134" s="246" t="s">
        <v>40</v>
      </c>
      <c r="B134" s="248">
        <v>14189</v>
      </c>
      <c r="C134" s="248">
        <f t="shared" si="43"/>
        <v>695619</v>
      </c>
      <c r="D134" s="250">
        <v>0.03</v>
      </c>
      <c r="E134" s="248">
        <f t="shared" si="45"/>
        <v>20868.57</v>
      </c>
      <c r="F134" s="249">
        <f t="shared" si="44"/>
        <v>67.992200711404763</v>
      </c>
      <c r="AJ134" s="57"/>
    </row>
    <row r="135" spans="1:46" ht="15.75" thickBot="1" x14ac:dyDescent="0.3">
      <c r="A135" s="246" t="s">
        <v>41</v>
      </c>
      <c r="B135" s="248">
        <v>1559</v>
      </c>
      <c r="C135" s="248">
        <f t="shared" si="43"/>
        <v>1690498</v>
      </c>
      <c r="D135" s="250">
        <v>0.03</v>
      </c>
      <c r="E135" s="248">
        <f t="shared" si="45"/>
        <v>50714.939999999995</v>
      </c>
      <c r="F135" s="249">
        <f t="shared" si="44"/>
        <v>3.07404484753408</v>
      </c>
      <c r="AJ135" s="57"/>
      <c r="AK135" s="5" t="s">
        <v>256</v>
      </c>
    </row>
    <row r="136" spans="1:46" ht="15.75" thickBot="1" x14ac:dyDescent="0.3">
      <c r="A136" s="246" t="s">
        <v>42</v>
      </c>
      <c r="B136" s="248">
        <v>22696</v>
      </c>
      <c r="C136" s="248">
        <f t="shared" si="43"/>
        <v>1680763</v>
      </c>
      <c r="D136" s="250">
        <v>0.03</v>
      </c>
      <c r="E136" s="248">
        <f t="shared" si="45"/>
        <v>50422.89</v>
      </c>
      <c r="F136" s="249">
        <f t="shared" si="44"/>
        <v>45.011303398119381</v>
      </c>
      <c r="AJ136" s="57"/>
      <c r="AL136" s="5">
        <v>2020</v>
      </c>
      <c r="AM136" s="5">
        <v>0</v>
      </c>
      <c r="AN136" s="5" t="s">
        <v>60</v>
      </c>
    </row>
    <row r="137" spans="1:46" ht="15.75" thickBot="1" x14ac:dyDescent="0.3">
      <c r="A137" s="246" t="s">
        <v>43</v>
      </c>
      <c r="B137" s="248">
        <v>25030</v>
      </c>
      <c r="C137" s="248">
        <f t="shared" si="43"/>
        <v>4038272</v>
      </c>
      <c r="D137" s="250">
        <v>0.03</v>
      </c>
      <c r="E137" s="248">
        <f t="shared" si="45"/>
        <v>121148.15999999999</v>
      </c>
      <c r="F137" s="249">
        <f t="shared" si="44"/>
        <v>20.660652212959736</v>
      </c>
      <c r="AJ137" s="57"/>
      <c r="AL137" s="5">
        <v>2025</v>
      </c>
      <c r="AM137" s="14">
        <f>0-F75</f>
        <v>-32.205411411018893</v>
      </c>
      <c r="AN137" s="5" t="s">
        <v>60</v>
      </c>
    </row>
    <row r="138" spans="1:46" ht="15.75" thickBot="1" x14ac:dyDescent="0.3">
      <c r="A138" s="246" t="s">
        <v>44</v>
      </c>
      <c r="B138" s="248">
        <v>742885</v>
      </c>
      <c r="C138" s="248">
        <f t="shared" si="43"/>
        <v>28685781</v>
      </c>
      <c r="D138" s="250">
        <v>0.03</v>
      </c>
      <c r="E138" s="248">
        <f t="shared" si="45"/>
        <v>860573.42999999993</v>
      </c>
      <c r="F138" s="249">
        <f t="shared" si="44"/>
        <v>86.324417429434249</v>
      </c>
      <c r="AJ138" s="57"/>
      <c r="AL138" s="5">
        <v>2025</v>
      </c>
      <c r="AM138" s="14">
        <f>0-F78</f>
        <v>-52.205411411018893</v>
      </c>
      <c r="AN138" s="5" t="s">
        <v>60</v>
      </c>
    </row>
    <row r="139" spans="1:46" ht="15" x14ac:dyDescent="0.25">
      <c r="AJ139" s="57"/>
    </row>
    <row r="140" spans="1:46" ht="15" x14ac:dyDescent="0.25">
      <c r="AJ140" s="57" t="s">
        <v>235</v>
      </c>
    </row>
    <row r="141" spans="1:46" ht="15" x14ac:dyDescent="0.25">
      <c r="AJ141" s="57"/>
    </row>
    <row r="142" spans="1:46" x14ac:dyDescent="0.2">
      <c r="AJ142" s="112" t="s">
        <v>259</v>
      </c>
    </row>
    <row r="143" spans="1:46" ht="15" x14ac:dyDescent="0.25">
      <c r="AJ143" s="57"/>
      <c r="AL143" s="5">
        <f>AL126</f>
        <v>2020</v>
      </c>
      <c r="AM143" s="5">
        <f t="shared" ref="AM143:AN143" si="54">AM126</f>
        <v>2025</v>
      </c>
      <c r="AN143" s="5">
        <f t="shared" si="54"/>
        <v>2030</v>
      </c>
    </row>
    <row r="144" spans="1:46" ht="15" x14ac:dyDescent="0.25">
      <c r="AJ144" s="57"/>
      <c r="AK144" s="5" t="str">
        <f>AK127</f>
        <v>paper</v>
      </c>
      <c r="AL144" s="14">
        <f>MAX(AK70,AO80,AR127)</f>
        <v>60.137557734718506</v>
      </c>
      <c r="AM144" s="14">
        <f>MAX(AS127,AO92,AK70)</f>
        <v>69.902973395931113</v>
      </c>
      <c r="AN144" s="14">
        <f>MAX(AT127,AO104,AK70)</f>
        <v>83.703591315601599</v>
      </c>
    </row>
    <row r="145" spans="36:40" ht="15" x14ac:dyDescent="0.2">
      <c r="AJ145" s="232"/>
      <c r="AK145" s="5" t="str">
        <f t="shared" ref="AK145:AK147" si="55">AK128</f>
        <v>metals</v>
      </c>
      <c r="AL145" s="14">
        <f>MAX(AK71,AO81,AR128)</f>
        <v>59.956960588848816</v>
      </c>
      <c r="AM145" s="14">
        <f>MAX(AS128,AO93,AK71)</f>
        <v>66.843310517536409</v>
      </c>
      <c r="AN145" s="14">
        <f>MAX(AT128,AO105,AK71)</f>
        <v>73.184192193093395</v>
      </c>
    </row>
    <row r="146" spans="36:40" x14ac:dyDescent="0.2">
      <c r="AK146" s="5" t="str">
        <f t="shared" si="55"/>
        <v>plastics</v>
      </c>
      <c r="AL146" s="14">
        <f>MAX(AK72,AO82,AR129)</f>
        <v>31.312577896048779</v>
      </c>
      <c r="AM146" s="14">
        <f>MAX(AS129,AO94,AK72)</f>
        <v>40.889500972971859</v>
      </c>
      <c r="AN146" s="14">
        <f>MAX(AT129,AO106,AK72)</f>
        <v>40.889500972971859</v>
      </c>
    </row>
    <row r="147" spans="36:40" x14ac:dyDescent="0.2">
      <c r="AK147" s="5" t="str">
        <f t="shared" si="55"/>
        <v>glass</v>
      </c>
      <c r="AL147" s="14">
        <f>MAX(AK73,AO83,AR130)</f>
        <v>75.952008346374527</v>
      </c>
      <c r="AM147" s="14">
        <f>MAX(AS130,AO95,AK73)</f>
        <v>91.142410015649418</v>
      </c>
      <c r="AN147" s="14">
        <f>MAX(AT130,AO107,AK73)</f>
        <v>91.142410015649418</v>
      </c>
    </row>
    <row r="150" spans="36:40" ht="15" x14ac:dyDescent="0.25">
      <c r="AJ150" s="57" t="s">
        <v>142</v>
      </c>
    </row>
    <row r="152" spans="36:40" x14ac:dyDescent="0.2">
      <c r="AK152" s="329" t="s">
        <v>141</v>
      </c>
      <c r="AL152" s="329"/>
    </row>
    <row r="153" spans="36:40" x14ac:dyDescent="0.2">
      <c r="AJ153" s="114" t="str">
        <f>CONCATENATE(R20,", ",R24,", ",R38)</f>
        <v>Belgium, Germany, Austria</v>
      </c>
      <c r="AK153" s="73">
        <f>(AD20+AD24+AD38)/3</f>
        <v>86.041275483234088</v>
      </c>
      <c r="AL153" s="70" t="str">
        <f>AD16</f>
        <v>paper</v>
      </c>
    </row>
    <row r="154" spans="36:40" x14ac:dyDescent="0.2">
      <c r="AJ154" s="114" t="str">
        <f>CONCATENATE(R23,", ",R31,", ",R45)</f>
        <v>Denmark, Cyprus, Sweden</v>
      </c>
      <c r="AK154" s="73">
        <f>(AE23+AE31+AE45)/3</f>
        <v>75.863964769338409</v>
      </c>
      <c r="AL154" s="70" t="str">
        <f>AE16</f>
        <v>metals</v>
      </c>
    </row>
    <row r="155" spans="36:40" x14ac:dyDescent="0.2">
      <c r="AJ155" s="114" t="str">
        <f>CONCATENATE(R20,", ",R41,", ",R38)</f>
        <v>Belgium, Romania, Austria</v>
      </c>
      <c r="AK155" s="73">
        <f>(AF20+AF38+AF41)/3</f>
        <v>23.921613237311607</v>
      </c>
      <c r="AL155" s="70" t="str">
        <f>AF16</f>
        <v>plastics</v>
      </c>
    </row>
    <row r="156" spans="36:40" x14ac:dyDescent="0.2">
      <c r="AJ156" s="114" t="str">
        <f>CONCATENATE(R20,", ",R29,", ",R38)</f>
        <v>Belgium, France, Austria</v>
      </c>
      <c r="AK156" s="73">
        <f>(AG20+AG29+AG38)/3</f>
        <v>82.371464752226316</v>
      </c>
      <c r="AL156" s="70" t="str">
        <f>AG16</f>
        <v>glass</v>
      </c>
    </row>
  </sheetData>
  <mergeCells count="11">
    <mergeCell ref="K17:O17"/>
    <mergeCell ref="Y17:AC17"/>
    <mergeCell ref="Y18:AC18"/>
    <mergeCell ref="AD17:AH17"/>
    <mergeCell ref="AD18:AH18"/>
    <mergeCell ref="T18:X18"/>
    <mergeCell ref="AK152:AL152"/>
    <mergeCell ref="A52:D52"/>
    <mergeCell ref="AL125:AN125"/>
    <mergeCell ref="AO125:AQ125"/>
    <mergeCell ref="AR125:AT125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14"/>
  <sheetViews>
    <sheetView showGridLines="0" topLeftCell="Y94" zoomScaleNormal="100" workbookViewId="0">
      <selection activeCell="AE126" sqref="AE126"/>
    </sheetView>
  </sheetViews>
  <sheetFormatPr defaultRowHeight="14.25" x14ac:dyDescent="0.2"/>
  <cols>
    <col min="1" max="1" width="16.875" customWidth="1"/>
    <col min="2" max="3" width="11.375" customWidth="1"/>
    <col min="4" max="4" width="11.375" style="101" customWidth="1"/>
    <col min="5" max="6" width="11.375" customWidth="1"/>
    <col min="7" max="7" width="11.375" style="101" customWidth="1"/>
    <col min="8" max="9" width="11.375" customWidth="1"/>
    <col min="10" max="10" width="11.375" style="101" customWidth="1"/>
    <col min="11" max="12" width="11.375" customWidth="1"/>
    <col min="13" max="13" width="11.375" style="101" customWidth="1"/>
    <col min="15" max="15" width="16.875" customWidth="1"/>
    <col min="16" max="17" width="11.375" customWidth="1"/>
    <col min="18" max="18" width="11.375" style="101" customWidth="1"/>
    <col min="20" max="20" width="15.875" bestFit="1" customWidth="1"/>
    <col min="22" max="22" width="9" customWidth="1"/>
    <col min="23" max="23" width="3.25" customWidth="1"/>
    <col min="24" max="24" width="26.125" customWidth="1"/>
    <col min="28" max="28" width="9" style="149"/>
    <col min="29" max="29" width="14.625" customWidth="1"/>
    <col min="30" max="34" width="11.125" customWidth="1"/>
  </cols>
  <sheetData>
    <row r="2" spans="1:42" ht="18" x14ac:dyDescent="0.25">
      <c r="A2" s="275" t="s">
        <v>164</v>
      </c>
      <c r="B2" s="275"/>
      <c r="C2" s="275"/>
    </row>
    <row r="4" spans="1:42" x14ac:dyDescent="0.2">
      <c r="A4" s="1" t="s">
        <v>54</v>
      </c>
    </row>
    <row r="6" spans="1:42" x14ac:dyDescent="0.2">
      <c r="A6" s="1" t="s">
        <v>1</v>
      </c>
      <c r="B6" s="2">
        <v>41555.472337962965</v>
      </c>
    </row>
    <row r="7" spans="1:42" x14ac:dyDescent="0.2">
      <c r="A7" s="1" t="s">
        <v>2</v>
      </c>
      <c r="B7" s="2">
        <v>41612.705733379626</v>
      </c>
    </row>
    <row r="8" spans="1:42" x14ac:dyDescent="0.2">
      <c r="A8" s="1" t="s">
        <v>3</v>
      </c>
      <c r="B8" s="1" t="s">
        <v>4</v>
      </c>
      <c r="X8" s="267"/>
      <c r="Y8" s="149"/>
    </row>
    <row r="10" spans="1:42" x14ac:dyDescent="0.2">
      <c r="A10" s="1" t="s">
        <v>51</v>
      </c>
      <c r="B10" s="1" t="s">
        <v>50</v>
      </c>
    </row>
    <row r="11" spans="1:42" x14ac:dyDescent="0.2">
      <c r="A11" s="1" t="s">
        <v>7</v>
      </c>
      <c r="B11" s="1" t="s">
        <v>49</v>
      </c>
    </row>
    <row r="12" spans="1:42" x14ac:dyDescent="0.2">
      <c r="A12" s="1" t="s">
        <v>56</v>
      </c>
      <c r="B12" s="1" t="s">
        <v>15</v>
      </c>
      <c r="AD12" s="16"/>
      <c r="AG12" s="268"/>
      <c r="AH12" s="268"/>
      <c r="AI12" s="269"/>
      <c r="AJ12" s="268"/>
      <c r="AK12" s="268"/>
      <c r="AL12" s="268"/>
      <c r="AM12" s="268"/>
      <c r="AN12" s="268"/>
      <c r="AO12" s="268"/>
      <c r="AP12" s="268"/>
    </row>
    <row r="13" spans="1:42" x14ac:dyDescent="0.2"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</row>
    <row r="14" spans="1:42" ht="39" x14ac:dyDescent="0.25">
      <c r="A14" s="3" t="s">
        <v>53</v>
      </c>
      <c r="B14" s="105" t="s">
        <v>145</v>
      </c>
      <c r="C14" s="105" t="s">
        <v>145</v>
      </c>
      <c r="D14" s="108" t="s">
        <v>60</v>
      </c>
      <c r="E14" s="105" t="s">
        <v>144</v>
      </c>
      <c r="F14" s="105" t="s">
        <v>144</v>
      </c>
      <c r="G14" s="108" t="s">
        <v>60</v>
      </c>
      <c r="H14" s="105" t="s">
        <v>143</v>
      </c>
      <c r="I14" s="105" t="s">
        <v>143</v>
      </c>
      <c r="J14" s="108" t="s">
        <v>60</v>
      </c>
      <c r="K14" s="105" t="s">
        <v>169</v>
      </c>
      <c r="L14" s="105" t="s">
        <v>169</v>
      </c>
      <c r="M14" s="108" t="s">
        <v>60</v>
      </c>
      <c r="N14" s="105" t="s">
        <v>170</v>
      </c>
      <c r="O14" s="105" t="s">
        <v>170</v>
      </c>
      <c r="P14" s="108" t="s">
        <v>60</v>
      </c>
      <c r="Q14" s="105" t="s">
        <v>112</v>
      </c>
      <c r="R14" s="105" t="s">
        <v>112</v>
      </c>
      <c r="S14" s="107" t="s">
        <v>60</v>
      </c>
      <c r="T14" s="105" t="s">
        <v>168</v>
      </c>
      <c r="U14" s="105" t="s">
        <v>168</v>
      </c>
      <c r="V14" s="107" t="s">
        <v>60</v>
      </c>
      <c r="X14" s="3" t="s">
        <v>53</v>
      </c>
      <c r="Y14" s="105" t="s">
        <v>52</v>
      </c>
      <c r="Z14" s="105" t="s">
        <v>52</v>
      </c>
      <c r="AA14" s="107" t="s">
        <v>60</v>
      </c>
      <c r="AB14"/>
      <c r="AC14" s="148" t="s">
        <v>221</v>
      </c>
      <c r="AF14" s="150"/>
      <c r="AG14" s="268"/>
      <c r="AH14" s="270"/>
      <c r="AI14" s="270"/>
      <c r="AJ14" s="150"/>
      <c r="AK14" s="150"/>
      <c r="AL14" s="268"/>
      <c r="AM14" s="270"/>
      <c r="AN14" s="270"/>
      <c r="AO14" s="150"/>
      <c r="AP14" s="268"/>
    </row>
    <row r="15" spans="1:42" ht="25.5" x14ac:dyDescent="0.2">
      <c r="A15" s="3" t="s">
        <v>116</v>
      </c>
      <c r="B15" s="105" t="s">
        <v>6</v>
      </c>
      <c r="C15" s="105" t="s">
        <v>48</v>
      </c>
      <c r="D15" s="106"/>
      <c r="E15" s="105" t="s">
        <v>6</v>
      </c>
      <c r="F15" s="105" t="s">
        <v>48</v>
      </c>
      <c r="G15" s="106"/>
      <c r="H15" s="105" t="s">
        <v>6</v>
      </c>
      <c r="I15" s="105" t="s">
        <v>48</v>
      </c>
      <c r="J15" s="106"/>
      <c r="K15" s="105" t="s">
        <v>6</v>
      </c>
      <c r="L15" s="105" t="s">
        <v>48</v>
      </c>
      <c r="M15" s="106"/>
      <c r="N15" s="105" t="s">
        <v>6</v>
      </c>
      <c r="O15" s="105" t="s">
        <v>48</v>
      </c>
      <c r="P15" s="106"/>
      <c r="Q15" s="105" t="s">
        <v>6</v>
      </c>
      <c r="R15" s="105" t="s">
        <v>48</v>
      </c>
      <c r="S15" s="104"/>
      <c r="T15" s="105" t="s">
        <v>6</v>
      </c>
      <c r="U15" s="105" t="s">
        <v>48</v>
      </c>
      <c r="V15" s="104"/>
      <c r="X15" s="3" t="s">
        <v>116</v>
      </c>
      <c r="Y15" s="105" t="s">
        <v>6</v>
      </c>
      <c r="Z15" s="105" t="s">
        <v>48</v>
      </c>
      <c r="AA15" s="104"/>
      <c r="AB15"/>
      <c r="AF15" s="151"/>
      <c r="AG15" s="268"/>
      <c r="AH15" s="270"/>
      <c r="AI15" s="270"/>
      <c r="AJ15" s="151"/>
      <c r="AK15" s="151"/>
      <c r="AL15" s="268"/>
      <c r="AM15" s="270"/>
      <c r="AN15" s="270"/>
      <c r="AO15" s="151"/>
      <c r="AP15" s="268"/>
    </row>
    <row r="16" spans="1:42" x14ac:dyDescent="0.2">
      <c r="A16" s="3" t="s">
        <v>17</v>
      </c>
      <c r="B16" s="4">
        <v>31779682</v>
      </c>
      <c r="C16" s="4">
        <v>26363324</v>
      </c>
      <c r="D16" s="103">
        <f t="shared" ref="D16:D43" si="0">C16/B16*100</f>
        <v>82.956538079896461</v>
      </c>
      <c r="E16" s="4">
        <v>14944821</v>
      </c>
      <c r="F16" s="4">
        <v>5127796</v>
      </c>
      <c r="G16" s="103">
        <f t="shared" ref="G16:G43" si="1">F16/E16*100</f>
        <v>34.3115250426887</v>
      </c>
      <c r="H16" s="4">
        <v>4612009</v>
      </c>
      <c r="I16" s="4">
        <v>3333448</v>
      </c>
      <c r="J16" s="103">
        <f t="shared" ref="J16:J43" si="2">I16/H16*100</f>
        <v>72.277569276209135</v>
      </c>
      <c r="K16" s="4">
        <f>'alu steel packaging'!E17</f>
        <v>3950937.5619170852</v>
      </c>
      <c r="L16" s="4">
        <f>'alu steel packaging'!F17</f>
        <v>2959710.2830996197</v>
      </c>
      <c r="M16" s="103">
        <f>'alu steel packaging'!G17</f>
        <v>74.911593431091845</v>
      </c>
      <c r="N16" s="4">
        <f>'alu steel packaging'!E16</f>
        <v>661071.43808291492</v>
      </c>
      <c r="O16" s="4">
        <f>'alu steel packaging'!F16</f>
        <v>373737.7169003805</v>
      </c>
      <c r="P16" s="103">
        <f>'alu steel packaging'!G16</f>
        <v>56.535148150433997</v>
      </c>
      <c r="Q16" s="4">
        <v>16170148</v>
      </c>
      <c r="R16" s="4">
        <v>11507096</v>
      </c>
      <c r="S16" s="102">
        <f t="shared" ref="S16:S43" si="3">R16/Q16*100</f>
        <v>71.162589235423198</v>
      </c>
      <c r="T16" s="4">
        <v>12380655</v>
      </c>
      <c r="U16" s="4">
        <v>4665951</v>
      </c>
      <c r="V16" s="102">
        <f t="shared" ref="V16:V43" si="4">U16/T16*100</f>
        <v>37.687432530831366</v>
      </c>
      <c r="X16" s="3" t="s">
        <v>17</v>
      </c>
      <c r="Y16" s="4">
        <v>80172092</v>
      </c>
      <c r="Z16" s="4">
        <v>51013192</v>
      </c>
      <c r="AA16" s="102">
        <f t="shared" ref="AA16:AA43" si="5">Z16/Y16*100</f>
        <v>63.629613157655903</v>
      </c>
      <c r="AB16"/>
      <c r="AC16" s="276" t="s">
        <v>146</v>
      </c>
      <c r="AD16" s="15">
        <f>AA16</f>
        <v>63.629613157655903</v>
      </c>
      <c r="AE16" s="16" t="s">
        <v>60</v>
      </c>
      <c r="AF16" s="152"/>
      <c r="AG16" s="268"/>
      <c r="AH16" s="271"/>
      <c r="AI16" s="271"/>
      <c r="AJ16" s="152"/>
      <c r="AK16" s="152"/>
      <c r="AL16" s="268"/>
      <c r="AM16" s="271"/>
      <c r="AN16" s="271"/>
      <c r="AO16" s="152"/>
      <c r="AP16" s="268"/>
    </row>
    <row r="17" spans="1:42" x14ac:dyDescent="0.2">
      <c r="A17" s="3" t="s">
        <v>18</v>
      </c>
      <c r="B17" s="4">
        <v>656019</v>
      </c>
      <c r="C17" s="4">
        <v>592963</v>
      </c>
      <c r="D17" s="103">
        <f t="shared" si="0"/>
        <v>90.388083271978402</v>
      </c>
      <c r="E17" s="4">
        <v>315961</v>
      </c>
      <c r="F17" s="4">
        <v>130730</v>
      </c>
      <c r="G17" s="103">
        <f t="shared" si="1"/>
        <v>41.375359617167938</v>
      </c>
      <c r="H17" s="4">
        <v>127584</v>
      </c>
      <c r="I17" s="4">
        <v>124285</v>
      </c>
      <c r="J17" s="110">
        <f t="shared" si="2"/>
        <v>97.414252570855268</v>
      </c>
      <c r="K17" s="263">
        <f>'alu steel packaging'!E20</f>
        <v>109296.49484630869</v>
      </c>
      <c r="L17" s="263">
        <f>'alu steel packaging'!F20</f>
        <v>110350.48170394026</v>
      </c>
      <c r="M17" s="103"/>
      <c r="N17" s="263">
        <f>'alu steel packaging'!E19</f>
        <v>18287.505153691291</v>
      </c>
      <c r="O17" s="263">
        <f>'alu steel packaging'!F19</f>
        <v>13934.51829605975</v>
      </c>
      <c r="P17" s="110">
        <f>'alu steel packaging'!G19</f>
        <v>76.196934349172835</v>
      </c>
      <c r="Q17" s="4">
        <v>387988</v>
      </c>
      <c r="R17" s="4">
        <v>387988</v>
      </c>
      <c r="S17" s="109">
        <f t="shared" si="3"/>
        <v>100</v>
      </c>
      <c r="T17" s="4">
        <v>201589</v>
      </c>
      <c r="U17" s="4">
        <v>127725</v>
      </c>
      <c r="V17" s="102">
        <f t="shared" si="4"/>
        <v>63.359111856301688</v>
      </c>
      <c r="X17" s="3" t="s">
        <v>18</v>
      </c>
      <c r="Y17" s="4">
        <v>1702505</v>
      </c>
      <c r="Z17" s="4">
        <v>1364890</v>
      </c>
      <c r="AA17" s="109">
        <f t="shared" si="5"/>
        <v>80.169514920661015</v>
      </c>
      <c r="AB17"/>
      <c r="AC17" s="277"/>
      <c r="AF17" s="152"/>
      <c r="AG17" s="272"/>
      <c r="AH17" s="273"/>
      <c r="AI17" s="273"/>
      <c r="AJ17" s="152"/>
      <c r="AK17" s="152"/>
      <c r="AL17" s="272"/>
      <c r="AM17" s="273"/>
      <c r="AN17" s="273"/>
      <c r="AO17" s="152"/>
      <c r="AP17" s="268"/>
    </row>
    <row r="18" spans="1:42" x14ac:dyDescent="0.2">
      <c r="A18" s="3" t="s">
        <v>19</v>
      </c>
      <c r="B18" s="4">
        <v>110270</v>
      </c>
      <c r="C18" s="4">
        <v>108211</v>
      </c>
      <c r="D18" s="110">
        <f t="shared" si="0"/>
        <v>98.132765031286837</v>
      </c>
      <c r="E18" s="4">
        <v>94963</v>
      </c>
      <c r="F18" s="4">
        <v>37198</v>
      </c>
      <c r="G18" s="103">
        <f t="shared" si="1"/>
        <v>39.171045565114831</v>
      </c>
      <c r="H18" s="4">
        <v>13414</v>
      </c>
      <c r="I18" s="4">
        <v>9381</v>
      </c>
      <c r="J18" s="103">
        <f t="shared" si="2"/>
        <v>69.934396898762486</v>
      </c>
      <c r="K18" s="264">
        <f>'alu steel packaging'!E23</f>
        <v>11491.277761070234</v>
      </c>
      <c r="L18" s="264">
        <f>'alu steel packaging'!F23</f>
        <v>8329.2261243485827</v>
      </c>
      <c r="M18" s="265">
        <f>'alu steel packaging'!G23</f>
        <v>72.483028411044558</v>
      </c>
      <c r="N18" s="264">
        <f>'alu steel packaging'!E22</f>
        <v>1922.7222389297635</v>
      </c>
      <c r="O18" s="264">
        <f>'alu steel packaging'!F22</f>
        <v>1051.7738756514184</v>
      </c>
      <c r="P18" s="265">
        <f>'alu steel packaging'!G22</f>
        <v>54.702330599601467</v>
      </c>
      <c r="Q18" s="4">
        <v>69374</v>
      </c>
      <c r="R18" s="4">
        <v>41245</v>
      </c>
      <c r="S18" s="102">
        <f t="shared" si="3"/>
        <v>59.453109234006973</v>
      </c>
      <c r="T18" s="4">
        <v>21444</v>
      </c>
      <c r="U18" s="4">
        <v>8904</v>
      </c>
      <c r="V18" s="102">
        <f t="shared" si="4"/>
        <v>41.522104085058757</v>
      </c>
      <c r="X18" s="3" t="s">
        <v>19</v>
      </c>
      <c r="Y18" s="4">
        <v>314639</v>
      </c>
      <c r="Z18" s="4">
        <v>204939</v>
      </c>
      <c r="AA18" s="102">
        <f t="shared" si="5"/>
        <v>65.134646372509451</v>
      </c>
      <c r="AB18"/>
      <c r="AC18" s="276" t="s">
        <v>276</v>
      </c>
      <c r="AD18" s="15">
        <f>D16</f>
        <v>82.956538079896461</v>
      </c>
      <c r="AE18" s="16" t="s">
        <v>60</v>
      </c>
      <c r="AF18" s="152"/>
      <c r="AG18" s="272"/>
      <c r="AH18" s="273"/>
      <c r="AI18" s="273"/>
      <c r="AJ18" s="152"/>
      <c r="AK18" s="152"/>
      <c r="AL18" s="272"/>
      <c r="AM18" s="273"/>
      <c r="AN18" s="273"/>
      <c r="AO18" s="152"/>
      <c r="AP18" s="268"/>
    </row>
    <row r="19" spans="1:42" ht="15" x14ac:dyDescent="0.25">
      <c r="A19" s="3" t="s">
        <v>20</v>
      </c>
      <c r="B19" s="4">
        <v>374591</v>
      </c>
      <c r="C19" s="4">
        <v>339056</v>
      </c>
      <c r="D19" s="103">
        <f t="shared" si="0"/>
        <v>90.513653558147425</v>
      </c>
      <c r="E19" s="4">
        <v>209414</v>
      </c>
      <c r="F19" s="4">
        <v>119433</v>
      </c>
      <c r="G19" s="110">
        <f t="shared" si="1"/>
        <v>57.032003590972899</v>
      </c>
      <c r="H19" s="4">
        <v>51282</v>
      </c>
      <c r="I19" s="4">
        <v>34850</v>
      </c>
      <c r="J19" s="103">
        <f t="shared" si="2"/>
        <v>67.95756795756796</v>
      </c>
      <c r="K19" s="4">
        <f>'alu steel packaging'!E26</f>
        <v>42196</v>
      </c>
      <c r="L19" s="4">
        <f>'alu steel packaging'!F26</f>
        <v>32223</v>
      </c>
      <c r="M19" s="103">
        <f>'alu steel packaging'!G26</f>
        <v>76.365058299364875</v>
      </c>
      <c r="N19" s="4">
        <f>'alu steel packaging'!E25</f>
        <v>9086</v>
      </c>
      <c r="O19" s="4">
        <f>'alu steel packaging'!F25</f>
        <v>2628</v>
      </c>
      <c r="P19" s="103">
        <f>'alu steel packaging'!G25</f>
        <v>28.923618754127229</v>
      </c>
      <c r="Q19" s="4">
        <v>186966</v>
      </c>
      <c r="R19" s="4">
        <v>139193</v>
      </c>
      <c r="S19" s="102">
        <f t="shared" si="3"/>
        <v>74.44829541200005</v>
      </c>
      <c r="T19" s="4">
        <v>94548</v>
      </c>
      <c r="U19" s="4">
        <v>26099</v>
      </c>
      <c r="V19" s="102">
        <f t="shared" si="4"/>
        <v>27.603968354698143</v>
      </c>
      <c r="X19" s="3" t="s">
        <v>20</v>
      </c>
      <c r="Y19" s="4">
        <v>945316</v>
      </c>
      <c r="Z19" s="4">
        <v>659175</v>
      </c>
      <c r="AA19" s="102">
        <f t="shared" si="5"/>
        <v>69.730650914614799</v>
      </c>
      <c r="AB19"/>
      <c r="AC19" s="276" t="s">
        <v>148</v>
      </c>
      <c r="AD19" s="15">
        <f>G16</f>
        <v>34.3115250426887</v>
      </c>
      <c r="AE19" s="16" t="s">
        <v>60</v>
      </c>
      <c r="AF19" s="152"/>
      <c r="AG19" s="274"/>
      <c r="AH19" s="273"/>
      <c r="AI19" s="273"/>
      <c r="AJ19" s="152"/>
      <c r="AK19" s="152"/>
      <c r="AL19" s="272"/>
      <c r="AM19" s="273"/>
      <c r="AN19" s="273"/>
      <c r="AO19" s="152"/>
      <c r="AP19" s="268"/>
    </row>
    <row r="20" spans="1:42" x14ac:dyDescent="0.2">
      <c r="A20" s="3" t="s">
        <v>21</v>
      </c>
      <c r="B20" s="4">
        <v>397273</v>
      </c>
      <c r="C20" s="4">
        <v>253375</v>
      </c>
      <c r="D20" s="103">
        <f t="shared" si="0"/>
        <v>63.778560335084435</v>
      </c>
      <c r="E20" s="4">
        <v>188261</v>
      </c>
      <c r="F20" s="4">
        <v>41956</v>
      </c>
      <c r="G20" s="103">
        <f t="shared" si="1"/>
        <v>22.286081556987376</v>
      </c>
      <c r="H20" s="4">
        <v>43371</v>
      </c>
      <c r="I20" s="4">
        <v>25167</v>
      </c>
      <c r="J20" s="103">
        <f t="shared" si="2"/>
        <v>58.027253233727606</v>
      </c>
      <c r="K20" s="264">
        <f>'alu steel packaging'!E29</f>
        <v>37154.331875307675</v>
      </c>
      <c r="L20" s="264">
        <f>'alu steel packaging'!F29</f>
        <v>22345.339928736892</v>
      </c>
      <c r="M20" s="265">
        <f>'alu steel packaging'!G29</f>
        <v>60.14195061757345</v>
      </c>
      <c r="N20" s="264">
        <f>'alu steel packaging'!E28</f>
        <v>6216.6681246923199</v>
      </c>
      <c r="O20" s="264">
        <f>'alu steel packaging'!F28</f>
        <v>2821.6600712631107</v>
      </c>
      <c r="P20" s="265">
        <f>'alu steel packaging'!G28</f>
        <v>45.388623208879473</v>
      </c>
      <c r="Q20" s="4">
        <v>151786</v>
      </c>
      <c r="R20" s="4">
        <v>130386</v>
      </c>
      <c r="S20" s="102">
        <f t="shared" si="3"/>
        <v>85.901203009500222</v>
      </c>
      <c r="T20" s="4">
        <v>96459</v>
      </c>
      <c r="U20" s="4">
        <v>28487</v>
      </c>
      <c r="V20" s="102">
        <f t="shared" si="4"/>
        <v>29.532754849210548</v>
      </c>
      <c r="X20" s="3" t="s">
        <v>21</v>
      </c>
      <c r="Y20" s="4">
        <v>883096</v>
      </c>
      <c r="Z20" s="4">
        <v>479371</v>
      </c>
      <c r="AA20" s="102">
        <f t="shared" si="5"/>
        <v>54.282999809760199</v>
      </c>
      <c r="AB20"/>
      <c r="AC20" s="276" t="s">
        <v>149</v>
      </c>
      <c r="AD20" s="15">
        <f>J16</f>
        <v>72.277569276209135</v>
      </c>
      <c r="AE20" s="16" t="s">
        <v>60</v>
      </c>
      <c r="AF20" s="152"/>
      <c r="AG20" s="272"/>
      <c r="AH20" s="273"/>
      <c r="AI20" s="273"/>
      <c r="AJ20" s="152"/>
      <c r="AK20" s="152"/>
      <c r="AL20" s="272"/>
      <c r="AM20" s="273"/>
      <c r="AN20" s="273"/>
      <c r="AO20" s="152"/>
      <c r="AP20" s="268"/>
    </row>
    <row r="21" spans="1:42" ht="15" x14ac:dyDescent="0.25">
      <c r="A21" s="18" t="s">
        <v>47</v>
      </c>
      <c r="B21" s="4">
        <v>7346900</v>
      </c>
      <c r="C21" s="4">
        <v>6464300</v>
      </c>
      <c r="D21" s="103">
        <f t="shared" si="0"/>
        <v>87.986769930174631</v>
      </c>
      <c r="E21" s="4">
        <v>2775800</v>
      </c>
      <c r="F21" s="4">
        <v>1346700</v>
      </c>
      <c r="G21" s="103">
        <f t="shared" si="1"/>
        <v>48.515743209164924</v>
      </c>
      <c r="H21" s="4">
        <v>881100</v>
      </c>
      <c r="I21" s="4">
        <v>818100</v>
      </c>
      <c r="J21" s="110">
        <f t="shared" si="2"/>
        <v>92.849846782431058</v>
      </c>
      <c r="K21" s="4">
        <f>'alu steel packaging'!E32</f>
        <v>788100</v>
      </c>
      <c r="L21" s="4">
        <f>'alu steel packaging'!F32</f>
        <v>735200</v>
      </c>
      <c r="M21" s="110">
        <f>'alu steel packaging'!G32</f>
        <v>93.287653851034136</v>
      </c>
      <c r="N21" s="4">
        <f>'alu steel packaging'!E31</f>
        <v>93000</v>
      </c>
      <c r="O21" s="4">
        <f>'alu steel packaging'!F31</f>
        <v>82900</v>
      </c>
      <c r="P21" s="110">
        <f>'alu steel packaging'!G31</f>
        <v>89.13978494623656</v>
      </c>
      <c r="Q21" s="4">
        <v>2669700</v>
      </c>
      <c r="R21" s="4">
        <v>2360500</v>
      </c>
      <c r="S21" s="102">
        <f t="shared" si="3"/>
        <v>88.41817432670338</v>
      </c>
      <c r="T21" s="4">
        <v>2791300</v>
      </c>
      <c r="U21" s="4">
        <v>840000</v>
      </c>
      <c r="V21" s="102">
        <f t="shared" si="4"/>
        <v>30.09350481854333</v>
      </c>
      <c r="X21" s="3" t="s">
        <v>47</v>
      </c>
      <c r="Y21" s="4">
        <v>16486200</v>
      </c>
      <c r="Z21" s="4">
        <v>11829600</v>
      </c>
      <c r="AA21" s="109">
        <f t="shared" si="5"/>
        <v>71.754558357899327</v>
      </c>
      <c r="AB21"/>
      <c r="AC21" s="276" t="s">
        <v>169</v>
      </c>
      <c r="AD21" s="15">
        <f>M16</f>
        <v>74.911593431091845</v>
      </c>
      <c r="AE21" s="16" t="s">
        <v>60</v>
      </c>
      <c r="AF21" s="152"/>
      <c r="AG21" s="274"/>
      <c r="AH21" s="273"/>
      <c r="AI21" s="273"/>
      <c r="AJ21" s="152"/>
      <c r="AK21" s="152"/>
      <c r="AL21" s="272"/>
      <c r="AM21" s="273"/>
      <c r="AN21" s="273"/>
      <c r="AO21" s="152"/>
      <c r="AP21" s="268"/>
    </row>
    <row r="22" spans="1:42" x14ac:dyDescent="0.2">
      <c r="A22" s="3" t="s">
        <v>22</v>
      </c>
      <c r="B22" s="4">
        <v>60283</v>
      </c>
      <c r="C22" s="4">
        <v>47713</v>
      </c>
      <c r="D22" s="103">
        <f t="shared" si="0"/>
        <v>79.148350281173791</v>
      </c>
      <c r="E22" s="4">
        <v>52006</v>
      </c>
      <c r="F22" s="4">
        <v>20606</v>
      </c>
      <c r="G22" s="103">
        <f t="shared" si="1"/>
        <v>39.622351267161484</v>
      </c>
      <c r="H22" s="4">
        <v>29687</v>
      </c>
      <c r="I22" s="4">
        <v>18664</v>
      </c>
      <c r="J22" s="103">
        <f t="shared" si="2"/>
        <v>62.869269377168457</v>
      </c>
      <c r="K22" s="264">
        <f>'alu steel packaging'!E35</f>
        <v>25431.755098620251</v>
      </c>
      <c r="L22" s="264">
        <f>'alu steel packaging'!F35</f>
        <v>16571.439759603662</v>
      </c>
      <c r="M22" s="265">
        <f>'alu steel packaging'!G35</f>
        <v>65.160425205976878</v>
      </c>
      <c r="N22" s="264">
        <f>'alu steel packaging'!E34</f>
        <v>4255.2449013797441</v>
      </c>
      <c r="O22" s="264">
        <f>'alu steel packaging'!F34</f>
        <v>2092.5602403963408</v>
      </c>
      <c r="P22" s="265">
        <f>'alu steel packaging'!G34</f>
        <v>49.176023681218382</v>
      </c>
      <c r="Q22" s="4">
        <v>37308</v>
      </c>
      <c r="R22" s="4">
        <v>24400</v>
      </c>
      <c r="S22" s="102">
        <f t="shared" si="3"/>
        <v>65.40152246167041</v>
      </c>
      <c r="T22" s="4">
        <v>13745</v>
      </c>
      <c r="U22" s="4">
        <v>9953</v>
      </c>
      <c r="V22" s="102">
        <f t="shared" si="4"/>
        <v>72.41178610403783</v>
      </c>
      <c r="X22" s="3" t="s">
        <v>22</v>
      </c>
      <c r="Y22" s="4">
        <v>193029</v>
      </c>
      <c r="Z22" s="4">
        <v>121336</v>
      </c>
      <c r="AA22" s="102">
        <f t="shared" si="5"/>
        <v>62.858948655383386</v>
      </c>
      <c r="AB22"/>
      <c r="AC22" s="276" t="s">
        <v>170</v>
      </c>
      <c r="AD22" s="15">
        <f>P16</f>
        <v>56.535148150433997</v>
      </c>
      <c r="AE22" s="16" t="s">
        <v>60</v>
      </c>
      <c r="AF22" s="152"/>
      <c r="AG22" s="272"/>
      <c r="AH22" s="273"/>
      <c r="AI22" s="273"/>
      <c r="AJ22" s="152"/>
      <c r="AK22" s="152"/>
      <c r="AL22" s="272"/>
      <c r="AM22" s="273"/>
      <c r="AN22" s="273"/>
      <c r="AO22" s="152"/>
      <c r="AP22" s="268"/>
    </row>
    <row r="23" spans="1:42" ht="15" x14ac:dyDescent="0.25">
      <c r="A23" s="3" t="s">
        <v>23</v>
      </c>
      <c r="B23" s="4">
        <v>334354</v>
      </c>
      <c r="C23" s="4">
        <v>305871</v>
      </c>
      <c r="D23" s="103">
        <f t="shared" si="0"/>
        <v>91.481184612715865</v>
      </c>
      <c r="E23" s="4">
        <v>158707</v>
      </c>
      <c r="F23" s="4">
        <v>75366</v>
      </c>
      <c r="G23" s="103">
        <f t="shared" si="1"/>
        <v>47.487508427479568</v>
      </c>
      <c r="H23" s="4">
        <v>57261</v>
      </c>
      <c r="I23" s="4">
        <v>38145</v>
      </c>
      <c r="J23" s="103">
        <f t="shared" si="2"/>
        <v>66.616021375805516</v>
      </c>
      <c r="K23" s="4">
        <f>'alu steel packaging'!E38</f>
        <v>45259</v>
      </c>
      <c r="L23" s="4">
        <f>'alu steel packaging'!F38</f>
        <v>33484</v>
      </c>
      <c r="M23" s="103">
        <f>'alu steel packaging'!G38</f>
        <v>73.983075189465069</v>
      </c>
      <c r="N23" s="4">
        <f>'alu steel packaging'!E37</f>
        <v>12002</v>
      </c>
      <c r="O23" s="4">
        <f>'alu steel packaging'!F37</f>
        <v>4661</v>
      </c>
      <c r="P23" s="103">
        <f>'alu steel packaging'!G37</f>
        <v>38.835194134310946</v>
      </c>
      <c r="Q23" s="4">
        <v>149931</v>
      </c>
      <c r="R23" s="4">
        <v>121805</v>
      </c>
      <c r="S23" s="102">
        <f t="shared" si="3"/>
        <v>81.240704057199636</v>
      </c>
      <c r="T23" s="4">
        <v>76388</v>
      </c>
      <c r="U23" s="4">
        <v>70886</v>
      </c>
      <c r="V23" s="109">
        <f t="shared" si="4"/>
        <v>92.79729800492224</v>
      </c>
      <c r="X23" s="3" t="s">
        <v>23</v>
      </c>
      <c r="Y23" s="4">
        <v>863596</v>
      </c>
      <c r="Z23" s="4">
        <v>612308</v>
      </c>
      <c r="AA23" s="102">
        <f t="shared" si="5"/>
        <v>70.902134794510403</v>
      </c>
      <c r="AB23"/>
      <c r="AC23" s="276" t="s">
        <v>150</v>
      </c>
      <c r="AD23" s="15">
        <f>S16</f>
        <v>71.162589235423198</v>
      </c>
      <c r="AE23" s="16" t="s">
        <v>60</v>
      </c>
      <c r="AF23" s="152"/>
      <c r="AG23" s="274"/>
      <c r="AH23" s="273"/>
      <c r="AI23" s="273"/>
      <c r="AJ23" s="152"/>
      <c r="AK23" s="152"/>
      <c r="AL23" s="272"/>
      <c r="AM23" s="273"/>
      <c r="AN23" s="273"/>
      <c r="AO23" s="152"/>
      <c r="AP23" s="268"/>
    </row>
    <row r="24" spans="1:42" ht="15" x14ac:dyDescent="0.25">
      <c r="A24" s="3" t="s">
        <v>24</v>
      </c>
      <c r="B24" s="4">
        <v>378750</v>
      </c>
      <c r="C24" s="4">
        <v>347900</v>
      </c>
      <c r="D24" s="103">
        <f t="shared" si="0"/>
        <v>91.854785478547853</v>
      </c>
      <c r="E24" s="4">
        <v>207770</v>
      </c>
      <c r="F24" s="4">
        <v>68530</v>
      </c>
      <c r="G24" s="103">
        <f t="shared" si="1"/>
        <v>32.983587620926983</v>
      </c>
      <c r="H24" s="4">
        <v>119480</v>
      </c>
      <c r="I24" s="4">
        <v>52700</v>
      </c>
      <c r="J24" s="103">
        <f t="shared" si="2"/>
        <v>44.10780046869769</v>
      </c>
      <c r="K24" s="4">
        <f>'alu steel packaging'!E41</f>
        <v>99240</v>
      </c>
      <c r="L24" s="4">
        <f>'alu steel packaging'!F41</f>
        <v>46200</v>
      </c>
      <c r="M24" s="103">
        <f>'alu steel packaging'!G41</f>
        <v>46.553808948004836</v>
      </c>
      <c r="N24" s="4">
        <f>'alu steel packaging'!E40</f>
        <v>20240</v>
      </c>
      <c r="O24" s="4">
        <f>'alu steel packaging'!F40</f>
        <v>6500</v>
      </c>
      <c r="P24" s="103">
        <f>'alu steel packaging'!G40</f>
        <v>32.114624505928852</v>
      </c>
      <c r="Q24" s="4">
        <v>117090</v>
      </c>
      <c r="R24" s="4">
        <v>43150</v>
      </c>
      <c r="S24" s="102">
        <f t="shared" si="3"/>
        <v>36.8519941925015</v>
      </c>
      <c r="T24" s="4">
        <v>43000</v>
      </c>
      <c r="U24" s="4">
        <v>28350</v>
      </c>
      <c r="V24" s="109">
        <f t="shared" si="4"/>
        <v>65.930232558139537</v>
      </c>
      <c r="X24" s="3" t="s">
        <v>24</v>
      </c>
      <c r="Y24" s="4">
        <v>866090</v>
      </c>
      <c r="Z24" s="4">
        <v>540630</v>
      </c>
      <c r="AA24" s="102">
        <f t="shared" si="5"/>
        <v>62.421919200083131</v>
      </c>
      <c r="AB24"/>
      <c r="AC24" s="276" t="s">
        <v>168</v>
      </c>
      <c r="AD24" s="20">
        <f>V16</f>
        <v>37.687432530831366</v>
      </c>
      <c r="AE24" s="16" t="s">
        <v>60</v>
      </c>
      <c r="AF24" s="152"/>
      <c r="AG24" s="274"/>
      <c r="AH24" s="273"/>
      <c r="AI24" s="273"/>
      <c r="AJ24" s="152"/>
      <c r="AK24" s="152"/>
      <c r="AL24" s="272"/>
      <c r="AM24" s="273"/>
      <c r="AN24" s="273"/>
      <c r="AO24" s="152"/>
      <c r="AP24" s="268"/>
    </row>
    <row r="25" spans="1:42" x14ac:dyDescent="0.2">
      <c r="A25" s="3" t="s">
        <v>25</v>
      </c>
      <c r="B25" s="4">
        <v>3411000</v>
      </c>
      <c r="C25" s="4">
        <v>2613999</v>
      </c>
      <c r="D25" s="103">
        <f t="shared" si="0"/>
        <v>76.63438874230431</v>
      </c>
      <c r="E25" s="4">
        <v>1355155</v>
      </c>
      <c r="F25" s="4">
        <v>438981</v>
      </c>
      <c r="G25" s="103">
        <f t="shared" si="1"/>
        <v>32.393416251277529</v>
      </c>
      <c r="H25" s="4">
        <v>426307</v>
      </c>
      <c r="I25" s="4">
        <v>320726</v>
      </c>
      <c r="J25" s="103">
        <f t="shared" si="2"/>
        <v>75.233575803352977</v>
      </c>
      <c r="K25" s="264">
        <f>'alu steel packaging'!E44</f>
        <v>365201.44241006183</v>
      </c>
      <c r="L25" s="264">
        <f>'alu steel packaging'!F44</f>
        <v>284767.01609186904</v>
      </c>
      <c r="M25" s="265">
        <f>'alu steel packaging'!G44</f>
        <v>77.975326223416715</v>
      </c>
      <c r="N25" s="264">
        <f>'alu steel packaging'!E43</f>
        <v>61105.557589938187</v>
      </c>
      <c r="O25" s="264">
        <f>'alu steel packaging'!F43</f>
        <v>35958.983908130991</v>
      </c>
      <c r="P25" s="265">
        <f>'alu steel packaging'!G43</f>
        <v>58.847321465326253</v>
      </c>
      <c r="Q25" s="4">
        <v>1459581</v>
      </c>
      <c r="R25" s="4">
        <v>972690</v>
      </c>
      <c r="S25" s="102">
        <f t="shared" si="3"/>
        <v>66.641728002762434</v>
      </c>
      <c r="T25" s="4">
        <v>481647</v>
      </c>
      <c r="U25" s="4">
        <v>256019</v>
      </c>
      <c r="V25" s="102">
        <f t="shared" si="4"/>
        <v>53.154903902650695</v>
      </c>
      <c r="X25" s="3" t="s">
        <v>25</v>
      </c>
      <c r="Y25" s="4">
        <v>7146841</v>
      </c>
      <c r="Z25" s="4">
        <v>4602415</v>
      </c>
      <c r="AA25" s="102">
        <f t="shared" si="5"/>
        <v>64.397892719314726</v>
      </c>
      <c r="AB25"/>
      <c r="AF25" s="152"/>
      <c r="AG25" s="272"/>
      <c r="AH25" s="273"/>
      <c r="AI25" s="273"/>
      <c r="AJ25" s="152"/>
      <c r="AK25" s="152"/>
      <c r="AL25" s="272"/>
      <c r="AM25" s="273"/>
      <c r="AN25" s="273"/>
      <c r="AO25" s="152"/>
      <c r="AP25" s="268"/>
    </row>
    <row r="26" spans="1:42" ht="15" x14ac:dyDescent="0.25">
      <c r="A26" s="3" t="s">
        <v>26</v>
      </c>
      <c r="B26" s="4">
        <v>4881558</v>
      </c>
      <c r="C26" s="4">
        <v>4294990</v>
      </c>
      <c r="D26" s="103">
        <f t="shared" si="0"/>
        <v>87.984000190103245</v>
      </c>
      <c r="E26" s="4">
        <v>2031859</v>
      </c>
      <c r="F26" s="4">
        <v>473818</v>
      </c>
      <c r="G26" s="103">
        <f t="shared" si="1"/>
        <v>23.319433090583548</v>
      </c>
      <c r="H26" s="4">
        <v>592563</v>
      </c>
      <c r="I26" s="4">
        <v>436083</v>
      </c>
      <c r="J26" s="103">
        <f t="shared" si="2"/>
        <v>73.592681284521646</v>
      </c>
      <c r="K26" s="4">
        <f>'alu steel packaging'!E47</f>
        <v>536500</v>
      </c>
      <c r="L26" s="4">
        <f>'alu steel packaging'!F47</f>
        <v>410160</v>
      </c>
      <c r="M26" s="103">
        <f>'alu steel packaging'!G47</f>
        <v>76.451071761416586</v>
      </c>
      <c r="N26" s="4">
        <f>'alu steel packaging'!E46</f>
        <v>56063</v>
      </c>
      <c r="O26" s="4">
        <f>'alu steel packaging'!F46</f>
        <v>25923</v>
      </c>
      <c r="P26" s="103">
        <f>'alu steel packaging'!G46</f>
        <v>46.2390524945151</v>
      </c>
      <c r="Q26" s="4">
        <v>2881265</v>
      </c>
      <c r="R26" s="4">
        <v>2036000</v>
      </c>
      <c r="S26" s="102">
        <f t="shared" si="3"/>
        <v>70.663406524564735</v>
      </c>
      <c r="T26" s="4">
        <v>2418348</v>
      </c>
      <c r="U26" s="4">
        <v>609000</v>
      </c>
      <c r="V26" s="102">
        <f t="shared" si="4"/>
        <v>25.182479940852186</v>
      </c>
      <c r="X26" s="3" t="s">
        <v>26</v>
      </c>
      <c r="Y26" s="4">
        <v>12810715</v>
      </c>
      <c r="Z26" s="4">
        <v>7849891</v>
      </c>
      <c r="AA26" s="102">
        <f t="shared" si="5"/>
        <v>61.275978741233416</v>
      </c>
      <c r="AB26"/>
      <c r="AC26" s="148" t="s">
        <v>234</v>
      </c>
      <c r="AF26" s="152"/>
      <c r="AG26" s="274"/>
      <c r="AH26" s="273"/>
      <c r="AI26" s="273"/>
      <c r="AJ26" s="152"/>
      <c r="AK26" s="152"/>
      <c r="AL26" s="272"/>
      <c r="AM26" s="273"/>
      <c r="AN26" s="273"/>
      <c r="AO26" s="152"/>
      <c r="AP26" s="268"/>
    </row>
    <row r="27" spans="1:42" ht="15" x14ac:dyDescent="0.25">
      <c r="A27" s="3" t="s">
        <v>28</v>
      </c>
      <c r="B27" s="4">
        <v>4436203</v>
      </c>
      <c r="C27" s="4">
        <v>3525642</v>
      </c>
      <c r="D27" s="103">
        <f t="shared" si="0"/>
        <v>79.47431621140872</v>
      </c>
      <c r="E27" s="4">
        <v>2075000</v>
      </c>
      <c r="F27" s="4">
        <v>749332</v>
      </c>
      <c r="G27" s="103">
        <f t="shared" si="1"/>
        <v>36.112385542168674</v>
      </c>
      <c r="H27" s="4">
        <v>554533</v>
      </c>
      <c r="I27" s="4">
        <v>393448</v>
      </c>
      <c r="J27" s="103">
        <f t="shared" si="2"/>
        <v>70.951232839163765</v>
      </c>
      <c r="K27" s="4">
        <f>'alu steel packaging'!E50</f>
        <v>485933</v>
      </c>
      <c r="L27" s="4">
        <f>'alu steel packaging'!F50</f>
        <v>352648</v>
      </c>
      <c r="M27" s="103">
        <f>'alu steel packaging'!G50</f>
        <v>72.571321560791304</v>
      </c>
      <c r="N27" s="4">
        <f>'alu steel packaging'!E49</f>
        <v>68600</v>
      </c>
      <c r="O27" s="4">
        <f>'alu steel packaging'!F49</f>
        <v>40800</v>
      </c>
      <c r="P27" s="103">
        <f>'alu steel packaging'!G49</f>
        <v>59.475218658892125</v>
      </c>
      <c r="Q27" s="4">
        <v>2266034</v>
      </c>
      <c r="R27" s="4">
        <v>1568405</v>
      </c>
      <c r="S27" s="102">
        <f t="shared" si="3"/>
        <v>69.213656988377053</v>
      </c>
      <c r="T27" s="4">
        <v>2305930</v>
      </c>
      <c r="U27" s="4">
        <v>1272477</v>
      </c>
      <c r="V27" s="102">
        <f t="shared" si="4"/>
        <v>55.182811273542562</v>
      </c>
      <c r="X27" s="3" t="s">
        <v>28</v>
      </c>
      <c r="Y27" s="4">
        <v>11637700</v>
      </c>
      <c r="Z27" s="4">
        <v>7509304</v>
      </c>
      <c r="AA27" s="102">
        <f t="shared" si="5"/>
        <v>64.525670879984872</v>
      </c>
      <c r="AB27"/>
      <c r="AC27" s="148"/>
      <c r="AD27" s="278" t="s">
        <v>277</v>
      </c>
      <c r="AE27" s="278" t="s">
        <v>278</v>
      </c>
      <c r="AF27" s="279" t="s">
        <v>279</v>
      </c>
      <c r="AG27" s="274"/>
      <c r="AH27" s="273"/>
      <c r="AI27" s="273"/>
      <c r="AJ27" s="152"/>
      <c r="AK27" s="152"/>
      <c r="AL27" s="272"/>
      <c r="AM27" s="273"/>
      <c r="AN27" s="273"/>
      <c r="AO27" s="152"/>
      <c r="AP27" s="268"/>
    </row>
    <row r="28" spans="1:42" ht="15" x14ac:dyDescent="0.25">
      <c r="A28" s="3" t="s">
        <v>29</v>
      </c>
      <c r="B28" s="4">
        <v>24865</v>
      </c>
      <c r="C28" s="4">
        <v>21968</v>
      </c>
      <c r="D28" s="103">
        <f t="shared" si="0"/>
        <v>88.349085059320331</v>
      </c>
      <c r="E28" s="4">
        <v>15184</v>
      </c>
      <c r="F28" s="4">
        <v>5773</v>
      </c>
      <c r="G28" s="103">
        <f t="shared" si="1"/>
        <v>38.020284510010541</v>
      </c>
      <c r="H28" s="4">
        <v>5288</v>
      </c>
      <c r="I28" s="4">
        <v>4697</v>
      </c>
      <c r="J28" s="103">
        <f t="shared" si="2"/>
        <v>88.823751891074139</v>
      </c>
      <c r="K28" s="4">
        <f>'alu steel packaging'!E53</f>
        <v>2472</v>
      </c>
      <c r="L28" s="4">
        <f>'alu steel packaging'!F53</f>
        <v>4451</v>
      </c>
      <c r="M28" s="103"/>
      <c r="N28" s="4">
        <f>'alu steel packaging'!E52</f>
        <v>2816</v>
      </c>
      <c r="O28" s="4">
        <f>'alu steel packaging'!F52</f>
        <v>246</v>
      </c>
      <c r="P28" s="103">
        <f>'alu steel packaging'!G52</f>
        <v>8.735795454545455</v>
      </c>
      <c r="Q28" s="4">
        <v>17622</v>
      </c>
      <c r="R28" s="4">
        <v>5954</v>
      </c>
      <c r="S28" s="102">
        <f t="shared" si="3"/>
        <v>33.787311315401205</v>
      </c>
      <c r="T28" s="4">
        <v>7419</v>
      </c>
      <c r="U28" s="4">
        <v>730</v>
      </c>
      <c r="V28" s="102">
        <f t="shared" si="4"/>
        <v>9.8396010243968188</v>
      </c>
      <c r="X28" s="3" t="s">
        <v>29</v>
      </c>
      <c r="Y28" s="4">
        <v>75554</v>
      </c>
      <c r="Z28" s="4">
        <v>39255</v>
      </c>
      <c r="AA28" s="102">
        <f t="shared" si="5"/>
        <v>51.956216745638883</v>
      </c>
      <c r="AB28"/>
      <c r="AC28" s="276" t="str">
        <f>AC16</f>
        <v>packaging</v>
      </c>
      <c r="AD28" s="280">
        <v>55</v>
      </c>
      <c r="AE28" s="281">
        <f>AD16</f>
        <v>63.629613157655903</v>
      </c>
      <c r="AF28" s="279">
        <f>MAX(AD28:AE28)</f>
        <v>63.629613157655903</v>
      </c>
      <c r="AG28" s="274"/>
      <c r="AH28" s="273"/>
      <c r="AI28" s="273"/>
      <c r="AJ28" s="152"/>
      <c r="AK28" s="152"/>
      <c r="AL28" s="272"/>
      <c r="AM28" s="273"/>
      <c r="AN28" s="273"/>
      <c r="AO28" s="152"/>
      <c r="AP28" s="268"/>
    </row>
    <row r="29" spans="1:42" ht="15" x14ac:dyDescent="0.25">
      <c r="A29" s="3" t="s">
        <v>30</v>
      </c>
      <c r="B29" s="4">
        <v>64009</v>
      </c>
      <c r="C29" s="4">
        <v>48116</v>
      </c>
      <c r="D29" s="103">
        <f t="shared" si="0"/>
        <v>75.170679123248291</v>
      </c>
      <c r="E29" s="4">
        <v>36186</v>
      </c>
      <c r="F29" s="4">
        <v>8310</v>
      </c>
      <c r="G29" s="103">
        <f t="shared" si="1"/>
        <v>22.964682473884928</v>
      </c>
      <c r="H29" s="4">
        <v>10664</v>
      </c>
      <c r="I29" s="4">
        <v>7922</v>
      </c>
      <c r="J29" s="103">
        <f t="shared" si="2"/>
        <v>74.287321830457614</v>
      </c>
      <c r="K29" s="264">
        <f>'alu steel packaging'!E56</f>
        <v>9135.4544538581322</v>
      </c>
      <c r="L29" s="264">
        <f>'alu steel packaging'!F56</f>
        <v>7033.805495905498</v>
      </c>
      <c r="M29" s="265">
        <f>'alu steel packaging'!G56</f>
        <v>76.994587750748906</v>
      </c>
      <c r="N29" s="264">
        <f>'alu steel packaging'!E55</f>
        <v>1528.5455461418667</v>
      </c>
      <c r="O29" s="264">
        <f>'alu steel packaging'!F55</f>
        <v>888.19450409450337</v>
      </c>
      <c r="P29" s="265">
        <f>'alu steel packaging'!G55</f>
        <v>58.107166406415253</v>
      </c>
      <c r="Q29" s="4">
        <v>51967</v>
      </c>
      <c r="R29" s="4">
        <v>26814</v>
      </c>
      <c r="S29" s="102">
        <f t="shared" si="3"/>
        <v>51.598129582234876</v>
      </c>
      <c r="T29" s="4">
        <v>53262</v>
      </c>
      <c r="U29" s="4">
        <v>18880</v>
      </c>
      <c r="V29" s="102">
        <f t="shared" si="4"/>
        <v>35.447410912094931</v>
      </c>
      <c r="X29" s="3" t="s">
        <v>30</v>
      </c>
      <c r="Y29" s="4">
        <v>216089</v>
      </c>
      <c r="Z29" s="4">
        <v>110042</v>
      </c>
      <c r="AA29" s="102">
        <f t="shared" si="5"/>
        <v>50.924387636575673</v>
      </c>
      <c r="AB29"/>
      <c r="AC29" s="276"/>
      <c r="AD29" s="282"/>
      <c r="AE29" s="283"/>
      <c r="AF29" s="284"/>
      <c r="AG29" s="274"/>
      <c r="AH29" s="273"/>
      <c r="AI29" s="273"/>
      <c r="AJ29" s="152"/>
      <c r="AK29" s="152"/>
      <c r="AL29" s="272"/>
      <c r="AM29" s="273"/>
      <c r="AN29" s="273"/>
      <c r="AO29" s="152"/>
      <c r="AP29" s="268"/>
    </row>
    <row r="30" spans="1:42" ht="15" x14ac:dyDescent="0.25">
      <c r="A30" s="3" t="s">
        <v>31</v>
      </c>
      <c r="B30" s="4">
        <v>88589</v>
      </c>
      <c r="C30" s="4">
        <v>74178</v>
      </c>
      <c r="D30" s="103">
        <f t="shared" si="0"/>
        <v>83.732743342852956</v>
      </c>
      <c r="E30" s="4">
        <v>60356</v>
      </c>
      <c r="F30" s="4">
        <v>23477</v>
      </c>
      <c r="G30" s="103">
        <f t="shared" si="1"/>
        <v>38.897541255219032</v>
      </c>
      <c r="H30" s="4">
        <v>13093</v>
      </c>
      <c r="I30" s="4">
        <v>8958</v>
      </c>
      <c r="J30" s="103">
        <f t="shared" si="2"/>
        <v>68.418238753532421</v>
      </c>
      <c r="K30" s="264">
        <f>'alu steel packaging'!E59</f>
        <v>11216.288931392024</v>
      </c>
      <c r="L30" s="264">
        <f>'alu steel packaging'!F59</f>
        <v>7953.6518091796825</v>
      </c>
      <c r="M30" s="265">
        <f>'alu steel packaging'!G59</f>
        <v>70.911616648168646</v>
      </c>
      <c r="N30" s="264">
        <f>'alu steel packaging'!E58</f>
        <v>1876.7110686079766</v>
      </c>
      <c r="O30" s="264">
        <f>'alu steel packaging'!F58</f>
        <v>1004.3481908203181</v>
      </c>
      <c r="P30" s="265">
        <f>'alu steel packaging'!G58</f>
        <v>53.516399387215152</v>
      </c>
      <c r="Q30" s="4">
        <v>63233</v>
      </c>
      <c r="R30" s="4">
        <v>46850</v>
      </c>
      <c r="S30" s="102">
        <f t="shared" si="3"/>
        <v>74.091060047759868</v>
      </c>
      <c r="T30" s="4">
        <v>59527</v>
      </c>
      <c r="U30" s="4">
        <v>28190</v>
      </c>
      <c r="V30" s="102">
        <f t="shared" si="4"/>
        <v>47.35666168293379</v>
      </c>
      <c r="X30" s="3" t="s">
        <v>31</v>
      </c>
      <c r="Y30" s="4">
        <v>292348</v>
      </c>
      <c r="Z30" s="4">
        <v>181886</v>
      </c>
      <c r="AA30" s="102">
        <f t="shared" si="5"/>
        <v>62.215578693885362</v>
      </c>
      <c r="AB30"/>
      <c r="AC30" s="276" t="str">
        <f t="shared" ref="AC30:AC36" si="6">AC18</f>
        <v>paper and card packaging</v>
      </c>
      <c r="AD30" s="280">
        <v>60</v>
      </c>
      <c r="AE30" s="281">
        <f t="shared" ref="AE30:AE36" si="7">AD18</f>
        <v>82.956538079896461</v>
      </c>
      <c r="AF30" s="279">
        <f t="shared" ref="AF30:AF36" si="8">MAX(AD30:AE30)</f>
        <v>82.956538079896461</v>
      </c>
      <c r="AG30" s="274"/>
      <c r="AH30" s="273"/>
      <c r="AI30" s="273"/>
      <c r="AJ30" s="152"/>
      <c r="AK30" s="152"/>
      <c r="AL30" s="272"/>
      <c r="AM30" s="273"/>
      <c r="AN30" s="273"/>
      <c r="AO30" s="152"/>
      <c r="AP30" s="268"/>
    </row>
    <row r="31" spans="1:42" ht="15" x14ac:dyDescent="0.25">
      <c r="A31" s="3" t="s">
        <v>32</v>
      </c>
      <c r="B31" s="4">
        <v>32700</v>
      </c>
      <c r="C31" s="4">
        <v>25450</v>
      </c>
      <c r="D31" s="103">
        <f t="shared" si="0"/>
        <v>77.828746177370036</v>
      </c>
      <c r="E31" s="4">
        <v>23800</v>
      </c>
      <c r="F31" s="4">
        <v>7911</v>
      </c>
      <c r="G31" s="103">
        <f t="shared" si="1"/>
        <v>33.239495798319332</v>
      </c>
      <c r="H31" s="4">
        <v>4644</v>
      </c>
      <c r="I31" s="4">
        <v>3826</v>
      </c>
      <c r="J31" s="103">
        <f t="shared" si="2"/>
        <v>82.38587424633937</v>
      </c>
      <c r="K31" s="264">
        <f>'alu steel packaging'!E62</f>
        <v>3978.343068615638</v>
      </c>
      <c r="L31" s="264">
        <f>'alu steel packaging'!F62</f>
        <v>3397.0386048137379</v>
      </c>
      <c r="M31" s="265">
        <f>'alu steel packaging'!G62</f>
        <v>85.388277135079278</v>
      </c>
      <c r="N31" s="264">
        <f>'alu steel packaging'!E61</f>
        <v>665.65693138436143</v>
      </c>
      <c r="O31" s="264">
        <f>'alu steel packaging'!F61</f>
        <v>428.96139518626222</v>
      </c>
      <c r="P31" s="265">
        <f>'alu steel packaging'!G61</f>
        <v>64.441813036357118</v>
      </c>
      <c r="Q31" s="4">
        <v>37325</v>
      </c>
      <c r="R31" s="4">
        <v>35660</v>
      </c>
      <c r="S31" s="109">
        <f t="shared" si="3"/>
        <v>95.539182853315481</v>
      </c>
      <c r="T31" s="4">
        <v>10443</v>
      </c>
      <c r="U31" s="4">
        <v>3593</v>
      </c>
      <c r="V31" s="102">
        <f t="shared" si="4"/>
        <v>34.405822081777266</v>
      </c>
      <c r="X31" s="3" t="s">
        <v>32</v>
      </c>
      <c r="Y31" s="4">
        <v>112047</v>
      </c>
      <c r="Z31" s="4">
        <v>76440</v>
      </c>
      <c r="AA31" s="102">
        <f t="shared" si="5"/>
        <v>68.221371388792207</v>
      </c>
      <c r="AB31"/>
      <c r="AC31" s="276" t="str">
        <f t="shared" si="6"/>
        <v>plastic packaging</v>
      </c>
      <c r="AD31" s="280">
        <v>22.5</v>
      </c>
      <c r="AE31" s="281">
        <f t="shared" si="7"/>
        <v>34.3115250426887</v>
      </c>
      <c r="AF31" s="279">
        <f t="shared" si="8"/>
        <v>34.3115250426887</v>
      </c>
      <c r="AG31" s="274"/>
      <c r="AH31" s="273"/>
      <c r="AI31" s="273"/>
      <c r="AJ31" s="152"/>
      <c r="AK31" s="152"/>
      <c r="AL31" s="272"/>
      <c r="AM31" s="273"/>
      <c r="AN31" s="273"/>
      <c r="AO31" s="152"/>
      <c r="AP31" s="268"/>
    </row>
    <row r="32" spans="1:42" ht="15" x14ac:dyDescent="0.25">
      <c r="A32" s="3" t="s">
        <v>33</v>
      </c>
      <c r="B32" s="4">
        <v>276533</v>
      </c>
      <c r="C32" s="4">
        <v>259998</v>
      </c>
      <c r="D32" s="110">
        <f t="shared" si="0"/>
        <v>94.020605135734243</v>
      </c>
      <c r="E32" s="4">
        <v>208662</v>
      </c>
      <c r="F32" s="4">
        <v>77797</v>
      </c>
      <c r="G32" s="103">
        <f t="shared" si="1"/>
        <v>37.283741169930316</v>
      </c>
      <c r="H32" s="4">
        <v>60165</v>
      </c>
      <c r="I32" s="4">
        <v>50254</v>
      </c>
      <c r="J32" s="103">
        <f t="shared" si="2"/>
        <v>83.526967506025102</v>
      </c>
      <c r="K32" s="264">
        <f>'alu steel packaging'!E65</f>
        <v>51541.130646696787</v>
      </c>
      <c r="L32" s="264">
        <f>'alu steel packaging'!F65</f>
        <v>44619.64925413215</v>
      </c>
      <c r="M32" s="266">
        <f>'alu steel packaging'!G65</f>
        <v>86.570955456895419</v>
      </c>
      <c r="N32" s="264">
        <f>'alu steel packaging'!E64</f>
        <v>8623.8693533032092</v>
      </c>
      <c r="O32" s="264">
        <f>'alu steel packaging'!F64</f>
        <v>5634.3507458678578</v>
      </c>
      <c r="P32" s="265">
        <f>'alu steel packaging'!G64</f>
        <v>65.334370397317372</v>
      </c>
      <c r="Q32" s="4">
        <v>109641</v>
      </c>
      <c r="R32" s="4">
        <v>45172</v>
      </c>
      <c r="S32" s="102">
        <f t="shared" si="3"/>
        <v>41.199916089783933</v>
      </c>
      <c r="T32" s="4">
        <v>181896</v>
      </c>
      <c r="U32" s="4">
        <v>63207</v>
      </c>
      <c r="V32" s="102">
        <f t="shared" si="4"/>
        <v>34.748977437656677</v>
      </c>
      <c r="X32" s="3" t="s">
        <v>33</v>
      </c>
      <c r="Y32" s="4">
        <v>838449</v>
      </c>
      <c r="Z32" s="4">
        <v>497216</v>
      </c>
      <c r="AA32" s="102">
        <f t="shared" si="5"/>
        <v>59.301877633582954</v>
      </c>
      <c r="AB32"/>
      <c r="AC32" s="276" t="str">
        <f t="shared" si="6"/>
        <v>metal packaging</v>
      </c>
      <c r="AD32" s="280">
        <v>50</v>
      </c>
      <c r="AE32" s="281">
        <f t="shared" si="7"/>
        <v>72.277569276209135</v>
      </c>
      <c r="AF32" s="279">
        <f t="shared" si="8"/>
        <v>72.277569276209135</v>
      </c>
      <c r="AG32" s="274"/>
      <c r="AH32" s="273"/>
      <c r="AI32" s="273"/>
      <c r="AJ32" s="152"/>
      <c r="AK32" s="152"/>
      <c r="AL32" s="272"/>
      <c r="AM32" s="273"/>
      <c r="AN32" s="273"/>
      <c r="AO32" s="152"/>
      <c r="AP32" s="268"/>
    </row>
    <row r="33" spans="1:42" ht="15" x14ac:dyDescent="0.25">
      <c r="A33" s="3" t="s">
        <v>34</v>
      </c>
      <c r="B33" s="4">
        <v>22209</v>
      </c>
      <c r="C33" s="4">
        <v>16153</v>
      </c>
      <c r="D33" s="103">
        <f t="shared" si="0"/>
        <v>72.731775406366779</v>
      </c>
      <c r="E33" s="4">
        <v>11403</v>
      </c>
      <c r="F33" s="4">
        <v>3293</v>
      </c>
      <c r="G33" s="103">
        <f t="shared" si="1"/>
        <v>28.878365342453737</v>
      </c>
      <c r="H33" s="4">
        <v>4000</v>
      </c>
      <c r="I33" s="4">
        <v>1208</v>
      </c>
      <c r="J33" s="103">
        <f t="shared" si="2"/>
        <v>30.2</v>
      </c>
      <c r="K33" s="264">
        <f>'alu steel packaging'!E68</f>
        <v>3426.6520832176043</v>
      </c>
      <c r="L33" s="264">
        <f>'alu steel packaging'!F68</f>
        <v>1072.5621104587026</v>
      </c>
      <c r="M33" s="265">
        <f>'alu steel packaging'!G68</f>
        <v>31.300583905547064</v>
      </c>
      <c r="N33" s="264">
        <f>'alu steel packaging'!E67</f>
        <v>573.3479167823956</v>
      </c>
      <c r="O33" s="264">
        <f>'alu steel packaging'!F67</f>
        <v>135.43788954129764</v>
      </c>
      <c r="P33" s="265">
        <f>'alu steel packaging'!G67</f>
        <v>23.622286848336238</v>
      </c>
      <c r="Q33" s="4">
        <v>10603</v>
      </c>
      <c r="R33" s="4">
        <v>1821</v>
      </c>
      <c r="S33" s="102">
        <f t="shared" si="3"/>
        <v>17.174384608129774</v>
      </c>
      <c r="T33" s="4">
        <v>4712</v>
      </c>
      <c r="U33" s="4">
        <v>0</v>
      </c>
      <c r="V33" s="102">
        <f t="shared" si="4"/>
        <v>0</v>
      </c>
      <c r="X33" s="3" t="s">
        <v>34</v>
      </c>
      <c r="Y33" s="4">
        <v>53253</v>
      </c>
      <c r="Z33" s="4">
        <v>22503</v>
      </c>
      <c r="AA33" s="102">
        <f t="shared" si="5"/>
        <v>42.256774266238523</v>
      </c>
      <c r="AB33"/>
      <c r="AC33" s="276" t="str">
        <f t="shared" si="6"/>
        <v>steel packaging</v>
      </c>
      <c r="AD33" s="280"/>
      <c r="AE33" s="281">
        <f t="shared" si="7"/>
        <v>74.911593431091845</v>
      </c>
      <c r="AF33" s="279">
        <f t="shared" si="8"/>
        <v>74.911593431091845</v>
      </c>
      <c r="AG33" s="274"/>
      <c r="AH33" s="273"/>
      <c r="AI33" s="273"/>
      <c r="AJ33" s="152"/>
      <c r="AK33" s="152"/>
      <c r="AL33" s="272"/>
      <c r="AM33" s="273"/>
      <c r="AN33" s="273"/>
      <c r="AO33" s="152"/>
      <c r="AP33" s="268"/>
    </row>
    <row r="34" spans="1:42" ht="15" x14ac:dyDescent="0.25">
      <c r="A34" s="3" t="s">
        <v>35</v>
      </c>
      <c r="B34" s="4">
        <v>1144000</v>
      </c>
      <c r="C34" s="4">
        <v>1014000</v>
      </c>
      <c r="D34" s="103">
        <f t="shared" si="0"/>
        <v>88.63636363636364</v>
      </c>
      <c r="E34" s="4">
        <v>444000</v>
      </c>
      <c r="F34" s="4">
        <v>225000</v>
      </c>
      <c r="G34" s="110">
        <f t="shared" si="1"/>
        <v>50.675675675675677</v>
      </c>
      <c r="H34" s="4">
        <v>193000</v>
      </c>
      <c r="I34" s="4">
        <v>176000</v>
      </c>
      <c r="J34" s="110">
        <f t="shared" si="2"/>
        <v>91.191709844559583</v>
      </c>
      <c r="K34" s="264">
        <f>'alu steel packaging'!E71</f>
        <v>165335.96301524941</v>
      </c>
      <c r="L34" s="264">
        <f>'alu steel packaging'!F71</f>
        <v>156267.32735159903</v>
      </c>
      <c r="M34" s="266">
        <f>'alu steel packaging'!G71</f>
        <v>94.51502534701784</v>
      </c>
      <c r="N34" s="264">
        <f>'alu steel packaging'!E70</f>
        <v>27664.036984750586</v>
      </c>
      <c r="O34" s="264">
        <f>'alu steel packaging'!F70</f>
        <v>19732.672648400985</v>
      </c>
      <c r="P34" s="266">
        <f>'alu steel packaging'!G70</f>
        <v>71.329692984716388</v>
      </c>
      <c r="Q34" s="4">
        <v>516000</v>
      </c>
      <c r="R34" s="4">
        <v>427000</v>
      </c>
      <c r="S34" s="102">
        <f t="shared" si="3"/>
        <v>82.751937984496124</v>
      </c>
      <c r="T34" s="4">
        <v>442000</v>
      </c>
      <c r="U34" s="4">
        <v>135000</v>
      </c>
      <c r="V34" s="102">
        <f t="shared" si="4"/>
        <v>30.542986425339368</v>
      </c>
      <c r="X34" s="3" t="s">
        <v>35</v>
      </c>
      <c r="Y34" s="4">
        <v>2748000</v>
      </c>
      <c r="Z34" s="4">
        <v>1977000</v>
      </c>
      <c r="AA34" s="109">
        <f t="shared" si="5"/>
        <v>71.943231441048042</v>
      </c>
      <c r="AB34"/>
      <c r="AC34" s="276" t="str">
        <f t="shared" si="6"/>
        <v>alu packaging</v>
      </c>
      <c r="AD34" s="280"/>
      <c r="AE34" s="281">
        <f t="shared" si="7"/>
        <v>56.535148150433997</v>
      </c>
      <c r="AF34" s="279">
        <f t="shared" si="8"/>
        <v>56.535148150433997</v>
      </c>
      <c r="AG34" s="274"/>
      <c r="AH34" s="273"/>
      <c r="AI34" s="273"/>
      <c r="AJ34" s="152"/>
      <c r="AK34" s="152"/>
      <c r="AL34" s="272"/>
      <c r="AM34" s="273"/>
      <c r="AN34" s="273"/>
      <c r="AO34" s="152"/>
      <c r="AP34" s="268"/>
    </row>
    <row r="35" spans="1:42" ht="15" x14ac:dyDescent="0.25">
      <c r="A35" s="3" t="s">
        <v>36</v>
      </c>
      <c r="B35" s="4">
        <v>501978</v>
      </c>
      <c r="C35" s="4">
        <v>424266</v>
      </c>
      <c r="D35" s="103">
        <f t="shared" si="0"/>
        <v>84.518843455290877</v>
      </c>
      <c r="E35" s="4">
        <v>264152</v>
      </c>
      <c r="F35" s="4">
        <v>91889</v>
      </c>
      <c r="G35" s="103">
        <f t="shared" si="1"/>
        <v>34.786410854356582</v>
      </c>
      <c r="H35" s="4">
        <v>62515</v>
      </c>
      <c r="I35" s="4">
        <v>38846</v>
      </c>
      <c r="J35" s="103">
        <f t="shared" si="2"/>
        <v>62.138686715188349</v>
      </c>
      <c r="K35" s="264">
        <f>'alu steel packaging'!E74</f>
        <v>53554.288745587131</v>
      </c>
      <c r="L35" s="264">
        <f>'alu steel packaging'!F74</f>
        <v>34490.68521761486</v>
      </c>
      <c r="M35" s="265">
        <f>'alu steel packaging'!G74</f>
        <v>64.403217791697202</v>
      </c>
      <c r="N35" s="264">
        <f>'alu steel packaging'!E73</f>
        <v>8960.7112544128668</v>
      </c>
      <c r="O35" s="264">
        <f>'alu steel packaging'!F73</f>
        <v>4355.3147823851396</v>
      </c>
      <c r="P35" s="265">
        <f>'alu steel packaging'!G73</f>
        <v>48.604565627982765</v>
      </c>
      <c r="Q35" s="4">
        <v>271999</v>
      </c>
      <c r="R35" s="4">
        <v>225164</v>
      </c>
      <c r="S35" s="102">
        <f t="shared" si="3"/>
        <v>82.781186695539319</v>
      </c>
      <c r="T35" s="4">
        <v>91170</v>
      </c>
      <c r="U35" s="4">
        <v>19274</v>
      </c>
      <c r="V35" s="102">
        <f t="shared" si="4"/>
        <v>21.140726116046945</v>
      </c>
      <c r="X35" s="3" t="s">
        <v>36</v>
      </c>
      <c r="Y35" s="4">
        <v>1232059</v>
      </c>
      <c r="Z35" s="4">
        <v>810980</v>
      </c>
      <c r="AA35" s="102">
        <f t="shared" si="5"/>
        <v>65.823146456460279</v>
      </c>
      <c r="AB35"/>
      <c r="AC35" s="276" t="str">
        <f t="shared" si="6"/>
        <v>glass packaging</v>
      </c>
      <c r="AD35" s="280">
        <v>60</v>
      </c>
      <c r="AE35" s="281">
        <f t="shared" si="7"/>
        <v>71.162589235423198</v>
      </c>
      <c r="AF35" s="279">
        <f t="shared" si="8"/>
        <v>71.162589235423198</v>
      </c>
      <c r="AG35" s="274"/>
      <c r="AH35" s="273"/>
      <c r="AI35" s="273"/>
      <c r="AJ35" s="152"/>
      <c r="AK35" s="152"/>
      <c r="AL35" s="272"/>
      <c r="AM35" s="273"/>
      <c r="AN35" s="273"/>
      <c r="AO35" s="152"/>
      <c r="AP35" s="268"/>
    </row>
    <row r="36" spans="1:42" ht="15" x14ac:dyDescent="0.25">
      <c r="A36" s="3" t="s">
        <v>37</v>
      </c>
      <c r="B36" s="4">
        <v>1419869</v>
      </c>
      <c r="C36" s="4">
        <v>833299</v>
      </c>
      <c r="D36" s="103">
        <f t="shared" si="0"/>
        <v>58.688442384473497</v>
      </c>
      <c r="E36" s="4">
        <v>784474</v>
      </c>
      <c r="F36" s="4">
        <v>177163</v>
      </c>
      <c r="G36" s="103">
        <f t="shared" si="1"/>
        <v>22.583667527540747</v>
      </c>
      <c r="H36" s="4">
        <v>247118</v>
      </c>
      <c r="I36" s="4">
        <v>111347</v>
      </c>
      <c r="J36" s="103">
        <f t="shared" si="2"/>
        <v>45.058231290314751</v>
      </c>
      <c r="K36" s="264">
        <f>'alu steel packaging'!E77</f>
        <v>211696.85237514199</v>
      </c>
      <c r="L36" s="264">
        <f>'alu steel packaging'!F77</f>
        <v>98863.05737851419</v>
      </c>
      <c r="M36" s="265">
        <f>'alu steel packaging'!G77</f>
        <v>46.700296329074256</v>
      </c>
      <c r="N36" s="264">
        <f>'alu steel packaging'!E76</f>
        <v>35421.147624858007</v>
      </c>
      <c r="O36" s="264">
        <f>'alu steel packaging'!F76</f>
        <v>12483.942621485819</v>
      </c>
      <c r="P36" s="265">
        <f>'alu steel packaging'!G76</f>
        <v>35.24432001385744</v>
      </c>
      <c r="Q36" s="4">
        <v>1078763</v>
      </c>
      <c r="R36" s="4">
        <v>485451</v>
      </c>
      <c r="S36" s="102">
        <f t="shared" si="3"/>
        <v>45.000709145567654</v>
      </c>
      <c r="T36" s="4">
        <v>1080832</v>
      </c>
      <c r="U36" s="4">
        <v>294390</v>
      </c>
      <c r="V36" s="102">
        <f t="shared" si="4"/>
        <v>27.237350485551872</v>
      </c>
      <c r="X36" s="3" t="s">
        <v>37</v>
      </c>
      <c r="Y36" s="4">
        <v>4611056</v>
      </c>
      <c r="Z36" s="4">
        <v>1901650</v>
      </c>
      <c r="AA36" s="102">
        <f t="shared" si="5"/>
        <v>41.24109531525967</v>
      </c>
      <c r="AB36"/>
      <c r="AC36" s="276" t="str">
        <f t="shared" si="6"/>
        <v>wood packaging</v>
      </c>
      <c r="AD36" s="280"/>
      <c r="AE36" s="281">
        <f t="shared" si="7"/>
        <v>37.687432530831366</v>
      </c>
      <c r="AF36" s="279">
        <f t="shared" si="8"/>
        <v>37.687432530831366</v>
      </c>
      <c r="AG36" s="274"/>
      <c r="AH36" s="273"/>
      <c r="AI36" s="273"/>
      <c r="AJ36" s="152"/>
      <c r="AK36" s="152"/>
      <c r="AL36" s="272"/>
      <c r="AM36" s="273"/>
      <c r="AN36" s="273"/>
      <c r="AO36" s="152"/>
      <c r="AP36" s="268"/>
    </row>
    <row r="37" spans="1:42" ht="15" x14ac:dyDescent="0.25">
      <c r="A37" s="3" t="s">
        <v>38</v>
      </c>
      <c r="B37" s="4">
        <v>687267</v>
      </c>
      <c r="C37" s="4">
        <v>489679</v>
      </c>
      <c r="D37" s="103">
        <f t="shared" si="0"/>
        <v>71.250183698620773</v>
      </c>
      <c r="E37" s="4">
        <v>356709</v>
      </c>
      <c r="F37" s="4">
        <v>93045</v>
      </c>
      <c r="G37" s="103">
        <f t="shared" si="1"/>
        <v>26.084287192080939</v>
      </c>
      <c r="H37" s="4">
        <v>93000</v>
      </c>
      <c r="I37" s="4">
        <v>66000</v>
      </c>
      <c r="J37" s="103">
        <f t="shared" si="2"/>
        <v>70.967741935483872</v>
      </c>
      <c r="K37" s="264">
        <f>'alu steel packaging'!E80</f>
        <v>79669.660934809304</v>
      </c>
      <c r="L37" s="264">
        <f>'alu steel packaging'!F80</f>
        <v>58600.24775684964</v>
      </c>
      <c r="M37" s="265">
        <f>'alu steel packaging'!G80</f>
        <v>73.554031822477597</v>
      </c>
      <c r="N37" s="264">
        <f>'alu steel packaging'!E79</f>
        <v>13330.339065190698</v>
      </c>
      <c r="O37" s="264">
        <f>'alu steel packaging'!F79</f>
        <v>7399.7522431503676</v>
      </c>
      <c r="P37" s="265">
        <f>'alu steel packaging'!G79</f>
        <v>55.510607846976846</v>
      </c>
      <c r="Q37" s="4">
        <v>374360</v>
      </c>
      <c r="R37" s="4">
        <v>223327</v>
      </c>
      <c r="S37" s="102">
        <f t="shared" si="3"/>
        <v>59.655679025536912</v>
      </c>
      <c r="T37" s="4">
        <v>54502</v>
      </c>
      <c r="U37" s="4">
        <v>42534</v>
      </c>
      <c r="V37" s="109">
        <f t="shared" si="4"/>
        <v>78.041172800998126</v>
      </c>
      <c r="X37" s="3" t="s">
        <v>38</v>
      </c>
      <c r="Y37" s="4">
        <v>1565838</v>
      </c>
      <c r="Z37" s="4">
        <v>914585</v>
      </c>
      <c r="AA37" s="102">
        <f t="shared" si="5"/>
        <v>58.408660410591636</v>
      </c>
      <c r="AB37"/>
      <c r="AC37" s="148"/>
      <c r="AF37" s="152"/>
      <c r="AG37" s="274"/>
      <c r="AH37" s="273"/>
      <c r="AI37" s="273"/>
      <c r="AJ37" s="152"/>
      <c r="AK37" s="152"/>
      <c r="AL37" s="272"/>
      <c r="AM37" s="273"/>
      <c r="AN37" s="273"/>
      <c r="AO37" s="152"/>
      <c r="AP37" s="268"/>
    </row>
    <row r="38" spans="1:42" ht="15" x14ac:dyDescent="0.25">
      <c r="A38" s="3" t="s">
        <v>39</v>
      </c>
      <c r="B38" s="4">
        <v>293100</v>
      </c>
      <c r="C38" s="4">
        <v>191990</v>
      </c>
      <c r="D38" s="103">
        <f t="shared" si="0"/>
        <v>65.503241214602525</v>
      </c>
      <c r="E38" s="4">
        <v>278810</v>
      </c>
      <c r="F38" s="4">
        <v>112460</v>
      </c>
      <c r="G38" s="103">
        <f t="shared" si="1"/>
        <v>40.33571249237832</v>
      </c>
      <c r="H38" s="4">
        <v>55230</v>
      </c>
      <c r="I38" s="4">
        <v>34410</v>
      </c>
      <c r="J38" s="103">
        <f t="shared" si="2"/>
        <v>62.303096143400325</v>
      </c>
      <c r="K38" s="264">
        <f>'alu steel packaging'!E83</f>
        <v>47313.498639027064</v>
      </c>
      <c r="L38" s="264">
        <f>'alu steel packaging'!F83</f>
        <v>30552.038262321152</v>
      </c>
      <c r="M38" s="265">
        <f>'alu steel packaging'!G83</f>
        <v>64.573618821585015</v>
      </c>
      <c r="N38" s="264">
        <f>'alu steel packaging'!E82</f>
        <v>7916.5013609729276</v>
      </c>
      <c r="O38" s="264">
        <f>'alu steel packaging'!F82</f>
        <v>3857.9617376788515</v>
      </c>
      <c r="P38" s="265">
        <f>'alu steel packaging'!G82</f>
        <v>48.733165848969335</v>
      </c>
      <c r="Q38" s="4">
        <v>139730</v>
      </c>
      <c r="R38" s="4">
        <v>83790</v>
      </c>
      <c r="S38" s="102">
        <f t="shared" si="3"/>
        <v>59.965648035497033</v>
      </c>
      <c r="T38" s="4">
        <v>225540</v>
      </c>
      <c r="U38" s="4">
        <v>73390</v>
      </c>
      <c r="V38" s="102">
        <f t="shared" si="4"/>
        <v>32.539682539682538</v>
      </c>
      <c r="X38" s="3" t="s">
        <v>39</v>
      </c>
      <c r="Y38" s="4">
        <v>992510</v>
      </c>
      <c r="Z38" s="4">
        <v>496040</v>
      </c>
      <c r="AA38" s="102">
        <f t="shared" si="5"/>
        <v>49.978337749745592</v>
      </c>
      <c r="AB38"/>
      <c r="AC38" s="148" t="s">
        <v>233</v>
      </c>
      <c r="AF38" s="152"/>
      <c r="AG38" s="274"/>
      <c r="AH38" s="273"/>
      <c r="AI38" s="273"/>
      <c r="AK38" s="152"/>
      <c r="AL38" s="272"/>
      <c r="AM38" s="273"/>
      <c r="AN38" s="273"/>
      <c r="AO38" s="152"/>
      <c r="AP38" s="268"/>
    </row>
    <row r="39" spans="1:42" ht="15" x14ac:dyDescent="0.25">
      <c r="A39" s="3" t="s">
        <v>40</v>
      </c>
      <c r="B39" s="4">
        <v>82226</v>
      </c>
      <c r="C39" s="4">
        <v>60458</v>
      </c>
      <c r="D39" s="103">
        <f t="shared" si="0"/>
        <v>73.526621749811497</v>
      </c>
      <c r="E39" s="4">
        <v>44729</v>
      </c>
      <c r="F39" s="4">
        <v>33791</v>
      </c>
      <c r="G39" s="110">
        <f t="shared" si="1"/>
        <v>75.546066310447358</v>
      </c>
      <c r="H39" s="4">
        <v>15043</v>
      </c>
      <c r="I39" s="4">
        <v>6075</v>
      </c>
      <c r="J39" s="103">
        <f t="shared" si="2"/>
        <v>40.384231868643219</v>
      </c>
      <c r="K39" s="264">
        <f>'alu steel packaging'!E86</f>
        <v>12886.781821960605</v>
      </c>
      <c r="L39" s="264">
        <f>'alu steel packaging'!F86</f>
        <v>5393.8864412554785</v>
      </c>
      <c r="M39" s="265">
        <f>'alu steel packaging'!G86</f>
        <v>41.855961525348832</v>
      </c>
      <c r="N39" s="264">
        <f>'alu steel packaging'!E85</f>
        <v>2156.2181780393944</v>
      </c>
      <c r="O39" s="264">
        <f>'alu steel packaging'!F85</f>
        <v>681.11355874452261</v>
      </c>
      <c r="P39" s="265">
        <f>'alu steel packaging'!G85</f>
        <v>31.588341369232193</v>
      </c>
      <c r="Q39" s="4">
        <v>31146</v>
      </c>
      <c r="R39" s="4">
        <v>25632</v>
      </c>
      <c r="S39" s="102">
        <f t="shared" si="3"/>
        <v>82.296282026584478</v>
      </c>
      <c r="T39" s="4">
        <v>32843</v>
      </c>
      <c r="U39" s="4">
        <v>5117</v>
      </c>
      <c r="V39" s="102">
        <f t="shared" si="4"/>
        <v>15.580184514203941</v>
      </c>
      <c r="X39" s="3" t="s">
        <v>40</v>
      </c>
      <c r="Y39" s="4">
        <v>207396</v>
      </c>
      <c r="Z39" s="4">
        <v>131949</v>
      </c>
      <c r="AA39" s="102">
        <f t="shared" si="5"/>
        <v>63.621767054330846</v>
      </c>
      <c r="AB39"/>
      <c r="AC39" s="148"/>
      <c r="AF39" s="152"/>
      <c r="AG39" s="274"/>
      <c r="AH39" s="273"/>
      <c r="AI39" s="273"/>
      <c r="AJ39" s="152"/>
      <c r="AK39" s="152"/>
      <c r="AL39" s="272"/>
      <c r="AM39" s="273"/>
      <c r="AN39" s="273"/>
      <c r="AO39" s="152"/>
      <c r="AP39" s="268"/>
    </row>
    <row r="40" spans="1:42" ht="42.75" x14ac:dyDescent="0.2">
      <c r="A40" s="3" t="s">
        <v>41</v>
      </c>
      <c r="B40" s="4">
        <v>177742</v>
      </c>
      <c r="C40" s="4">
        <v>142556</v>
      </c>
      <c r="D40" s="103">
        <f t="shared" si="0"/>
        <v>80.203891033070406</v>
      </c>
      <c r="E40" s="4">
        <v>106624</v>
      </c>
      <c r="F40" s="4">
        <v>53236</v>
      </c>
      <c r="G40" s="103">
        <f t="shared" si="1"/>
        <v>49.928721488595443</v>
      </c>
      <c r="H40" s="4">
        <v>26857</v>
      </c>
      <c r="I40" s="4">
        <v>15673</v>
      </c>
      <c r="J40" s="103">
        <f t="shared" si="2"/>
        <v>58.357225304389914</v>
      </c>
      <c r="K40" s="264">
        <f>'alu steel packaging'!E89</f>
        <v>23007.398749743799</v>
      </c>
      <c r="L40" s="264">
        <f>'alu steel packaging'!F89</f>
        <v>13915.783077168247</v>
      </c>
      <c r="M40" s="265">
        <f>'alu steel packaging'!G89</f>
        <v>60.483947918376515</v>
      </c>
      <c r="N40" s="264">
        <f>'alu steel packaging'!E88</f>
        <v>3849.6012502561998</v>
      </c>
      <c r="O40" s="264">
        <f>'alu steel packaging'!F88</f>
        <v>1757.2169228317534</v>
      </c>
      <c r="P40" s="265">
        <f>'alu steel packaging'!G88</f>
        <v>45.646725689181615</v>
      </c>
      <c r="Q40" s="4">
        <v>81299</v>
      </c>
      <c r="R40" s="4">
        <v>51954</v>
      </c>
      <c r="S40" s="102">
        <f t="shared" si="3"/>
        <v>63.904845078045234</v>
      </c>
      <c r="T40" s="4">
        <v>50843</v>
      </c>
      <c r="U40" s="4">
        <v>13386</v>
      </c>
      <c r="V40" s="102">
        <f t="shared" si="4"/>
        <v>26.328108097476544</v>
      </c>
      <c r="X40" s="3" t="s">
        <v>41</v>
      </c>
      <c r="Y40" s="4">
        <v>443673</v>
      </c>
      <c r="Z40" s="4">
        <v>276805</v>
      </c>
      <c r="AA40" s="102">
        <f t="shared" si="5"/>
        <v>62.389417431306391</v>
      </c>
      <c r="AB40"/>
      <c r="AC40" s="291"/>
      <c r="AD40" s="292" t="s">
        <v>280</v>
      </c>
      <c r="AE40" s="293" t="s">
        <v>284</v>
      </c>
      <c r="AF40" s="292" t="s">
        <v>281</v>
      </c>
      <c r="AG40" s="292" t="s">
        <v>282</v>
      </c>
      <c r="AH40" s="292" t="s">
        <v>283</v>
      </c>
      <c r="AI40" s="273"/>
      <c r="AJ40" s="300" t="s">
        <v>285</v>
      </c>
      <c r="AK40" s="152"/>
      <c r="AL40" s="272"/>
      <c r="AM40" s="273"/>
      <c r="AN40" s="273"/>
      <c r="AO40" s="152"/>
      <c r="AP40" s="268"/>
    </row>
    <row r="41" spans="1:42" ht="15" x14ac:dyDescent="0.25">
      <c r="A41" s="3" t="s">
        <v>42</v>
      </c>
      <c r="B41" s="4">
        <v>255051</v>
      </c>
      <c r="C41" s="4">
        <v>246876</v>
      </c>
      <c r="D41" s="110">
        <f t="shared" si="0"/>
        <v>96.794758695319757</v>
      </c>
      <c r="E41" s="4">
        <v>117126</v>
      </c>
      <c r="F41" s="4">
        <v>29768</v>
      </c>
      <c r="G41" s="103">
        <f t="shared" si="1"/>
        <v>25.415364650035006</v>
      </c>
      <c r="H41" s="4">
        <v>53999</v>
      </c>
      <c r="I41" s="4">
        <v>43125</v>
      </c>
      <c r="J41" s="103">
        <f t="shared" si="2"/>
        <v>79.862590047963849</v>
      </c>
      <c r="K41" s="264">
        <f>'alu steel packaging'!E92</f>
        <v>46258.946460416846</v>
      </c>
      <c r="L41" s="264">
        <f>'alu steel packaging'!F92</f>
        <v>38289.934613850615</v>
      </c>
      <c r="M41" s="265">
        <f>'alu steel packaging'!G92</f>
        <v>82.77303644737087</v>
      </c>
      <c r="N41" s="264">
        <f>'alu steel packaging'!E91</f>
        <v>7740.0535395831448</v>
      </c>
      <c r="O41" s="264">
        <f>'alu steel packaging'!F91</f>
        <v>4835.0653861493884</v>
      </c>
      <c r="P41" s="265">
        <f>'alu steel packaging'!G91</f>
        <v>62.468112932585605</v>
      </c>
      <c r="Q41" s="4">
        <v>66448</v>
      </c>
      <c r="R41" s="4">
        <v>58393</v>
      </c>
      <c r="S41" s="102">
        <f t="shared" si="3"/>
        <v>87.877738983867076</v>
      </c>
      <c r="T41" s="4">
        <v>215934</v>
      </c>
      <c r="U41" s="4">
        <v>38210</v>
      </c>
      <c r="V41" s="102">
        <f t="shared" si="4"/>
        <v>17.695221688108404</v>
      </c>
      <c r="X41" s="3" t="s">
        <v>42</v>
      </c>
      <c r="Y41" s="4">
        <v>709643</v>
      </c>
      <c r="Z41" s="4">
        <v>416372</v>
      </c>
      <c r="AA41" s="102">
        <f t="shared" si="5"/>
        <v>58.673445662114609</v>
      </c>
      <c r="AB41"/>
      <c r="AC41" s="298"/>
      <c r="AD41" s="299"/>
      <c r="AE41" s="299"/>
      <c r="AF41" s="299"/>
      <c r="AG41" s="299"/>
      <c r="AH41" s="284"/>
      <c r="AI41" s="273"/>
      <c r="AJ41" s="152"/>
      <c r="AK41" s="152"/>
      <c r="AL41" s="272"/>
      <c r="AM41" s="273"/>
      <c r="AN41" s="273"/>
      <c r="AO41" s="152"/>
      <c r="AP41" s="268"/>
    </row>
    <row r="42" spans="1:42" x14ac:dyDescent="0.2">
      <c r="A42" s="3" t="s">
        <v>43</v>
      </c>
      <c r="B42" s="4">
        <v>504483</v>
      </c>
      <c r="C42" s="4">
        <v>381129</v>
      </c>
      <c r="D42" s="103">
        <f t="shared" si="0"/>
        <v>75.548432751946052</v>
      </c>
      <c r="E42" s="4">
        <v>211901</v>
      </c>
      <c r="F42" s="4">
        <v>72323</v>
      </c>
      <c r="G42" s="103">
        <f t="shared" si="1"/>
        <v>34.130560969509347</v>
      </c>
      <c r="H42" s="4">
        <v>61194</v>
      </c>
      <c r="I42" s="4">
        <v>46161</v>
      </c>
      <c r="J42" s="103">
        <f t="shared" si="2"/>
        <v>75.433866065300521</v>
      </c>
      <c r="K42" s="4">
        <f>'alu steel packaging'!E95</f>
        <v>34901</v>
      </c>
      <c r="L42" s="4">
        <f>'alu steel packaging'!F95</f>
        <v>28818</v>
      </c>
      <c r="M42" s="103">
        <f>'alu steel packaging'!G95</f>
        <v>82.570699979943257</v>
      </c>
      <c r="N42" s="4">
        <f>'alu steel packaging'!E94</f>
        <v>26293</v>
      </c>
      <c r="O42" s="4">
        <f>'alu steel packaging'!F94</f>
        <v>17343</v>
      </c>
      <c r="P42" s="103">
        <f>'alu steel packaging'!G94</f>
        <v>65.960521811889095</v>
      </c>
      <c r="Q42" s="4">
        <v>203000</v>
      </c>
      <c r="R42" s="4">
        <v>186500</v>
      </c>
      <c r="S42" s="109">
        <f t="shared" si="3"/>
        <v>91.871921182266021</v>
      </c>
      <c r="T42" s="4">
        <v>301395</v>
      </c>
      <c r="U42" s="4">
        <v>51432</v>
      </c>
      <c r="V42" s="102">
        <f t="shared" si="4"/>
        <v>17.064649380381226</v>
      </c>
      <c r="X42" s="3" t="s">
        <v>43</v>
      </c>
      <c r="Y42" s="4">
        <v>1294793</v>
      </c>
      <c r="Z42" s="4">
        <v>737545</v>
      </c>
      <c r="AA42" s="102">
        <f t="shared" si="5"/>
        <v>56.962387037928075</v>
      </c>
      <c r="AB42"/>
      <c r="AC42" s="294" t="str">
        <f>'MSW recycling'!J15</f>
        <v>Paper</v>
      </c>
      <c r="AD42" s="294">
        <f>'MSW recycling'!K15</f>
        <v>20</v>
      </c>
      <c r="AE42" s="295">
        <f>AD30</f>
        <v>60</v>
      </c>
      <c r="AF42" s="296">
        <f>AD18</f>
        <v>82.956538079896461</v>
      </c>
      <c r="AG42" s="297">
        <f>AD42*AE42/100</f>
        <v>12</v>
      </c>
      <c r="AH42" s="297">
        <f>AD42*AF42/100</f>
        <v>16.591307615979293</v>
      </c>
      <c r="AI42" s="273"/>
      <c r="AK42" s="152" t="str">
        <f>AC28</f>
        <v>packaging</v>
      </c>
      <c r="AL42" s="152">
        <f>AE28</f>
        <v>63.629613157655903</v>
      </c>
      <c r="AM42" s="273"/>
      <c r="AN42" s="273"/>
      <c r="AO42" s="152"/>
      <c r="AP42" s="268"/>
    </row>
    <row r="43" spans="1:42" x14ac:dyDescent="0.2">
      <c r="A43" s="3" t="s">
        <v>44</v>
      </c>
      <c r="B43" s="4">
        <v>3817860</v>
      </c>
      <c r="C43" s="4">
        <v>3239188</v>
      </c>
      <c r="D43" s="103">
        <f t="shared" si="0"/>
        <v>84.843027245629756</v>
      </c>
      <c r="E43" s="4">
        <v>2515809</v>
      </c>
      <c r="F43" s="4">
        <v>609910</v>
      </c>
      <c r="G43" s="103">
        <f t="shared" si="1"/>
        <v>24.243096355883935</v>
      </c>
      <c r="H43" s="4">
        <v>809617</v>
      </c>
      <c r="I43" s="4">
        <v>447397</v>
      </c>
      <c r="J43" s="103">
        <f t="shared" si="2"/>
        <v>55.260326796497608</v>
      </c>
      <c r="K43" s="4">
        <f>'alu steel packaging'!E98</f>
        <v>648740</v>
      </c>
      <c r="L43" s="4">
        <f>'alu steel packaging'!F98</f>
        <v>373714</v>
      </c>
      <c r="M43" s="103">
        <f>'alu steel packaging'!G98</f>
        <v>57.606128803526836</v>
      </c>
      <c r="N43" s="4">
        <f>'alu steel packaging'!E97</f>
        <v>160877</v>
      </c>
      <c r="O43" s="4">
        <f>'alu steel packaging'!F97</f>
        <v>73683</v>
      </c>
      <c r="P43" s="103">
        <f>'alu steel packaging'!G97</f>
        <v>45.800829204920532</v>
      </c>
      <c r="Q43" s="4">
        <v>2739989</v>
      </c>
      <c r="R43" s="4">
        <v>1751852</v>
      </c>
      <c r="S43" s="102">
        <f t="shared" si="3"/>
        <v>63.936461058785277</v>
      </c>
      <c r="T43" s="4">
        <v>1023939</v>
      </c>
      <c r="U43" s="4">
        <v>600718</v>
      </c>
      <c r="V43" s="102">
        <f t="shared" si="4"/>
        <v>58.667362020589117</v>
      </c>
      <c r="X43" s="3" t="s">
        <v>44</v>
      </c>
      <c r="Y43" s="4">
        <v>10929657</v>
      </c>
      <c r="Z43" s="4">
        <v>6649065</v>
      </c>
      <c r="AA43" s="102">
        <f t="shared" si="5"/>
        <v>60.835074696305661</v>
      </c>
      <c r="AB43"/>
      <c r="AC43" s="286" t="str">
        <f>'MSW recycling'!J16</f>
        <v>Glass packaging</v>
      </c>
      <c r="AD43" s="286">
        <f>'MSW recycling'!K16</f>
        <v>8</v>
      </c>
      <c r="AE43" s="285">
        <f>AD35</f>
        <v>60</v>
      </c>
      <c r="AF43" s="288">
        <f>AD23</f>
        <v>71.162589235423198</v>
      </c>
      <c r="AG43" s="279">
        <f t="shared" ref="AG43:AG51" si="9">AD43*AE43/100</f>
        <v>4.8</v>
      </c>
      <c r="AH43" s="279">
        <f t="shared" ref="AH43:AH51" si="10">AD43*AF43/100</f>
        <v>5.6930071388338561</v>
      </c>
      <c r="AI43" s="273"/>
      <c r="AK43" s="152" t="str">
        <f t="shared" ref="AK43:AK49" si="11">AC30</f>
        <v>paper and card packaging</v>
      </c>
      <c r="AL43" s="152">
        <f t="shared" ref="AL43:AL49" si="12">AE30</f>
        <v>82.956538079896461</v>
      </c>
      <c r="AM43" s="273"/>
      <c r="AN43" s="273"/>
      <c r="AO43" s="152"/>
      <c r="AP43" s="268"/>
    </row>
    <row r="44" spans="1:42" x14ac:dyDescent="0.2">
      <c r="AC44" s="286" t="str">
        <f>'MSW recycling'!J17</f>
        <v>Plastic packaging</v>
      </c>
      <c r="AD44" s="286">
        <f>'MSW recycling'!K17</f>
        <v>14</v>
      </c>
      <c r="AE44" s="285">
        <f>AD31</f>
        <v>22.5</v>
      </c>
      <c r="AF44" s="288">
        <f>AD19</f>
        <v>34.3115250426887</v>
      </c>
      <c r="AG44" s="279">
        <f t="shared" si="9"/>
        <v>3.15</v>
      </c>
      <c r="AH44" s="279">
        <f t="shared" si="10"/>
        <v>4.8036135059764185</v>
      </c>
      <c r="AI44" s="273"/>
      <c r="AK44" s="152" t="str">
        <f t="shared" si="11"/>
        <v>plastic packaging</v>
      </c>
      <c r="AL44" s="152">
        <f t="shared" si="12"/>
        <v>34.3115250426887</v>
      </c>
      <c r="AM44" s="268"/>
      <c r="AN44" s="268"/>
      <c r="AO44" s="268"/>
      <c r="AP44" s="268"/>
    </row>
    <row r="45" spans="1:42" x14ac:dyDescent="0.2">
      <c r="A45" s="1"/>
      <c r="AC45" s="286" t="str">
        <f>'MSW recycling'!J18</f>
        <v>Metal packaging</v>
      </c>
      <c r="AD45" s="286">
        <f>'MSW recycling'!K18</f>
        <v>6</v>
      </c>
      <c r="AE45" s="285">
        <f>AD32</f>
        <v>50</v>
      </c>
      <c r="AF45" s="288">
        <f>AD20</f>
        <v>72.277569276209135</v>
      </c>
      <c r="AG45" s="279">
        <f>AD45*AE45/100</f>
        <v>3</v>
      </c>
      <c r="AH45" s="279">
        <f t="shared" si="10"/>
        <v>4.336654156572548</v>
      </c>
      <c r="AI45" s="273"/>
      <c r="AK45" s="152" t="str">
        <f t="shared" si="11"/>
        <v>metal packaging</v>
      </c>
      <c r="AL45" s="152">
        <f t="shared" si="12"/>
        <v>72.277569276209135</v>
      </c>
      <c r="AM45" s="268"/>
      <c r="AN45" s="268"/>
      <c r="AO45" s="268"/>
      <c r="AP45" s="268"/>
    </row>
    <row r="46" spans="1:42" x14ac:dyDescent="0.2">
      <c r="A46" s="1"/>
      <c r="B46" s="1"/>
      <c r="AC46" s="286" t="str">
        <f>'MSW recycling'!J19</f>
        <v xml:space="preserve">Furniture </v>
      </c>
      <c r="AD46" s="286">
        <f>'MSW recycling'!K19</f>
        <v>3.5</v>
      </c>
      <c r="AE46" s="285"/>
      <c r="AF46" s="285"/>
      <c r="AG46" s="279">
        <f t="shared" si="9"/>
        <v>0</v>
      </c>
      <c r="AH46" s="279">
        <f t="shared" si="10"/>
        <v>0</v>
      </c>
      <c r="AI46" s="273"/>
      <c r="AK46" s="152" t="str">
        <f t="shared" si="11"/>
        <v>steel packaging</v>
      </c>
      <c r="AL46" s="152">
        <f t="shared" si="12"/>
        <v>74.911593431091845</v>
      </c>
      <c r="AM46" s="268"/>
      <c r="AN46" s="268"/>
      <c r="AO46" s="268"/>
      <c r="AP46" s="268"/>
    </row>
    <row r="47" spans="1:42" x14ac:dyDescent="0.2">
      <c r="AC47" s="286" t="str">
        <f>'MSW recycling'!J20</f>
        <v>Textile</v>
      </c>
      <c r="AD47" s="286">
        <f>'MSW recycling'!K20</f>
        <v>2.5</v>
      </c>
      <c r="AE47" s="285"/>
      <c r="AF47" s="285"/>
      <c r="AG47" s="279">
        <f t="shared" si="9"/>
        <v>0</v>
      </c>
      <c r="AH47" s="279">
        <f t="shared" si="10"/>
        <v>0</v>
      </c>
      <c r="AI47" s="273"/>
      <c r="AK47" s="152" t="str">
        <f t="shared" si="11"/>
        <v>alu packaging</v>
      </c>
      <c r="AL47" s="152">
        <f t="shared" si="12"/>
        <v>56.535148150433997</v>
      </c>
      <c r="AM47" s="268"/>
      <c r="AN47" s="268"/>
      <c r="AO47" s="268"/>
      <c r="AP47" s="268"/>
    </row>
    <row r="48" spans="1:42" ht="15" x14ac:dyDescent="0.25">
      <c r="A48" s="148" t="s">
        <v>291</v>
      </c>
      <c r="AC48" s="286" t="str">
        <f>'MSW recycling'!J21</f>
        <v>WEEE</v>
      </c>
      <c r="AD48" s="286">
        <f>'MSW recycling'!K21</f>
        <v>3</v>
      </c>
      <c r="AE48" s="285"/>
      <c r="AF48" s="285"/>
      <c r="AG48" s="279">
        <f t="shared" si="9"/>
        <v>0</v>
      </c>
      <c r="AH48" s="279">
        <f t="shared" si="10"/>
        <v>0</v>
      </c>
      <c r="AI48" s="273"/>
      <c r="AK48" s="152" t="str">
        <f t="shared" si="11"/>
        <v>glass packaging</v>
      </c>
      <c r="AL48" s="152">
        <f t="shared" si="12"/>
        <v>71.162589235423198</v>
      </c>
      <c r="AM48" s="268"/>
      <c r="AN48" s="268"/>
      <c r="AO48" s="268"/>
      <c r="AP48" s="268"/>
    </row>
    <row r="49" spans="1:42" x14ac:dyDescent="0.2">
      <c r="AC49" s="286" t="str">
        <f>'MSW recycling'!J22</f>
        <v>Other dry</v>
      </c>
      <c r="AD49" s="286">
        <f>'MSW recycling'!K22</f>
        <v>7</v>
      </c>
      <c r="AE49" s="285"/>
      <c r="AF49" s="285"/>
      <c r="AG49" s="279">
        <f t="shared" si="9"/>
        <v>0</v>
      </c>
      <c r="AH49" s="279">
        <f t="shared" si="10"/>
        <v>0</v>
      </c>
      <c r="AI49" s="273"/>
      <c r="AK49" s="152" t="str">
        <f t="shared" si="11"/>
        <v>wood packaging</v>
      </c>
      <c r="AL49" s="152">
        <f t="shared" si="12"/>
        <v>37.687432530831366</v>
      </c>
      <c r="AM49" s="268"/>
      <c r="AN49" s="268"/>
      <c r="AO49" s="268"/>
      <c r="AP49" s="268"/>
    </row>
    <row r="50" spans="1:42" x14ac:dyDescent="0.2">
      <c r="A50" s="1" t="s">
        <v>54</v>
      </c>
      <c r="D50"/>
      <c r="G50"/>
      <c r="AC50" s="286" t="str">
        <f>'MSW recycling'!J23</f>
        <v>Biowaste</v>
      </c>
      <c r="AD50" s="286">
        <f>'MSW recycling'!K23</f>
        <v>30</v>
      </c>
      <c r="AE50" s="285"/>
      <c r="AF50" s="285"/>
      <c r="AG50" s="279">
        <f t="shared" si="9"/>
        <v>0</v>
      </c>
      <c r="AH50" s="279">
        <f t="shared" si="10"/>
        <v>0</v>
      </c>
      <c r="AI50" s="273"/>
      <c r="AL50" s="268"/>
      <c r="AM50" s="268"/>
      <c r="AN50" s="268"/>
      <c r="AO50" s="268"/>
      <c r="AP50" s="268"/>
    </row>
    <row r="51" spans="1:42" x14ac:dyDescent="0.2">
      <c r="D51"/>
      <c r="G51"/>
      <c r="AC51" s="286" t="str">
        <f>'MSW recycling'!J24</f>
        <v xml:space="preserve">Other wet </v>
      </c>
      <c r="AD51" s="286">
        <f>'MSW recycling'!K24</f>
        <v>6</v>
      </c>
      <c r="AE51" s="285"/>
      <c r="AF51" s="285"/>
      <c r="AG51" s="279">
        <f t="shared" si="9"/>
        <v>0</v>
      </c>
      <c r="AH51" s="279">
        <f t="shared" si="10"/>
        <v>0</v>
      </c>
      <c r="AI51" s="273"/>
      <c r="AJ51" s="152"/>
      <c r="AK51" s="152"/>
      <c r="AL51" s="268"/>
      <c r="AM51" s="268"/>
      <c r="AN51" s="268"/>
      <c r="AO51" s="268"/>
      <c r="AP51" s="268"/>
    </row>
    <row r="52" spans="1:42" ht="15" x14ac:dyDescent="0.25">
      <c r="A52" s="1" t="s">
        <v>1</v>
      </c>
      <c r="B52" s="2">
        <v>41683.617094907408</v>
      </c>
      <c r="D52"/>
      <c r="G52"/>
      <c r="AC52" s="289" t="s">
        <v>139</v>
      </c>
      <c r="AD52" s="287">
        <f>SUM(AD42:AD51)</f>
        <v>100</v>
      </c>
      <c r="AE52" s="287"/>
      <c r="AF52" s="287"/>
      <c r="AG52" s="290">
        <f>SUM(AG42:AG51)</f>
        <v>22.95</v>
      </c>
      <c r="AH52" s="290">
        <f>SUM(AH42:AH51)</f>
        <v>31.424582417362117</v>
      </c>
      <c r="AI52" s="273"/>
      <c r="AJ52" s="152"/>
      <c r="AK52" s="152"/>
      <c r="AL52" s="268"/>
      <c r="AM52" s="268"/>
      <c r="AN52" s="268"/>
      <c r="AO52" s="268"/>
      <c r="AP52" s="268"/>
    </row>
    <row r="53" spans="1:42" ht="15" x14ac:dyDescent="0.25">
      <c r="A53" s="1" t="s">
        <v>2</v>
      </c>
      <c r="B53" s="2">
        <v>41703.515140844909</v>
      </c>
      <c r="D53"/>
      <c r="G53"/>
      <c r="AC53" s="148"/>
      <c r="AF53" s="152"/>
      <c r="AG53" s="272"/>
      <c r="AH53" s="273"/>
      <c r="AI53" s="273"/>
      <c r="AJ53" s="152"/>
      <c r="AK53" s="268"/>
      <c r="AL53" s="268"/>
      <c r="AM53" s="268"/>
      <c r="AN53" s="268"/>
      <c r="AO53" s="268"/>
      <c r="AP53" s="268"/>
    </row>
    <row r="54" spans="1:42" ht="15" x14ac:dyDescent="0.25">
      <c r="A54" s="1" t="s">
        <v>3</v>
      </c>
      <c r="B54" s="1" t="s">
        <v>4</v>
      </c>
      <c r="D54"/>
      <c r="G54"/>
      <c r="AC54" s="148" t="s">
        <v>236</v>
      </c>
      <c r="AF54" s="152"/>
      <c r="AG54" s="272"/>
      <c r="AH54" s="273"/>
      <c r="AI54" s="273"/>
      <c r="AJ54" s="152"/>
      <c r="AK54" s="268"/>
      <c r="AL54" s="268"/>
      <c r="AM54" s="268"/>
      <c r="AN54" s="268"/>
      <c r="AO54" s="268"/>
      <c r="AP54" s="268"/>
    </row>
    <row r="55" spans="1:42" x14ac:dyDescent="0.2">
      <c r="D55"/>
      <c r="G55"/>
      <c r="AF55" s="152"/>
      <c r="AG55" s="272"/>
      <c r="AH55" s="273"/>
      <c r="AI55" s="273"/>
      <c r="AJ55" s="152"/>
      <c r="AK55" s="268"/>
      <c r="AL55" s="268"/>
      <c r="AM55" s="268"/>
      <c r="AN55" s="268"/>
      <c r="AO55" s="268"/>
      <c r="AP55" s="268"/>
    </row>
    <row r="56" spans="1:42" x14ac:dyDescent="0.2">
      <c r="A56" s="1" t="s">
        <v>175</v>
      </c>
      <c r="B56" s="1" t="s">
        <v>17</v>
      </c>
      <c r="D56"/>
      <c r="G56"/>
      <c r="AC56" s="300" t="str">
        <f>AJ40</f>
        <v>parameters considered as in BAU</v>
      </c>
      <c r="AD56" s="272"/>
      <c r="AF56" s="152"/>
      <c r="AG56" s="272"/>
      <c r="AH56" s="273"/>
      <c r="AI56" s="273"/>
      <c r="AJ56" s="152"/>
    </row>
    <row r="57" spans="1:42" x14ac:dyDescent="0.2">
      <c r="A57" s="1" t="s">
        <v>292</v>
      </c>
      <c r="B57" s="1" t="s">
        <v>50</v>
      </c>
      <c r="D57"/>
      <c r="G57"/>
      <c r="AC57" s="152"/>
      <c r="AD57" s="272"/>
      <c r="AF57" s="152"/>
      <c r="AG57" s="272"/>
      <c r="AH57" s="273"/>
      <c r="AI57" s="273"/>
      <c r="AJ57" s="152"/>
    </row>
    <row r="58" spans="1:42" x14ac:dyDescent="0.2">
      <c r="A58" s="1" t="s">
        <v>7</v>
      </c>
      <c r="B58" s="1" t="s">
        <v>49</v>
      </c>
      <c r="D58"/>
      <c r="G58"/>
      <c r="AC58" s="301" t="str">
        <f>AK42</f>
        <v>packaging</v>
      </c>
      <c r="AD58" s="152">
        <f>AL42</f>
        <v>63.629613157655903</v>
      </c>
      <c r="AF58" s="152"/>
      <c r="AG58" s="272"/>
      <c r="AH58" s="273"/>
      <c r="AI58" s="273"/>
      <c r="AJ58" s="152"/>
    </row>
    <row r="59" spans="1:42" ht="15" x14ac:dyDescent="0.25">
      <c r="D59"/>
      <c r="G59"/>
      <c r="AC59" s="301" t="str">
        <f t="shared" ref="AC59:AD59" si="13">AK43</f>
        <v>paper and card packaging</v>
      </c>
      <c r="AD59" s="152">
        <f t="shared" si="13"/>
        <v>82.956538079896461</v>
      </c>
      <c r="AF59" s="152"/>
      <c r="AG59" s="274"/>
      <c r="AH59" s="273"/>
      <c r="AI59" s="273"/>
      <c r="AJ59" s="152"/>
    </row>
    <row r="60" spans="1:42" ht="15" x14ac:dyDescent="0.25">
      <c r="A60" s="3" t="s">
        <v>5</v>
      </c>
      <c r="B60" s="3" t="s">
        <v>6</v>
      </c>
      <c r="C60" s="3" t="s">
        <v>293</v>
      </c>
      <c r="D60"/>
      <c r="E60" s="16" t="s">
        <v>294</v>
      </c>
      <c r="F60" s="16" t="s">
        <v>295</v>
      </c>
      <c r="G60"/>
      <c r="AC60" s="301" t="str">
        <f t="shared" ref="AC60:AD60" si="14">AK44</f>
        <v>plastic packaging</v>
      </c>
      <c r="AD60" s="152">
        <f t="shared" si="14"/>
        <v>34.3115250426887</v>
      </c>
      <c r="AF60" s="152"/>
      <c r="AG60" s="274"/>
      <c r="AH60" s="273"/>
      <c r="AI60" s="273"/>
      <c r="AJ60" s="152"/>
    </row>
    <row r="61" spans="1:42" x14ac:dyDescent="0.2">
      <c r="A61" s="3" t="s">
        <v>296</v>
      </c>
      <c r="B61" s="3" t="s">
        <v>15</v>
      </c>
      <c r="C61" s="3" t="s">
        <v>15</v>
      </c>
      <c r="D61"/>
      <c r="G61"/>
      <c r="AC61" s="301" t="str">
        <f t="shared" ref="AC61:AD61" si="15">AK45</f>
        <v>metal packaging</v>
      </c>
      <c r="AD61" s="152">
        <f t="shared" si="15"/>
        <v>72.277569276209135</v>
      </c>
      <c r="AG61" s="268"/>
      <c r="AH61" s="268"/>
      <c r="AI61" s="268"/>
      <c r="AJ61" s="268"/>
    </row>
    <row r="62" spans="1:42" x14ac:dyDescent="0.2">
      <c r="A62" s="3" t="s">
        <v>52</v>
      </c>
      <c r="B62" s="4">
        <v>80172092</v>
      </c>
      <c r="C62" s="4">
        <v>61973910</v>
      </c>
      <c r="D62"/>
      <c r="E62" s="15">
        <f>B62-C62</f>
        <v>18198182</v>
      </c>
      <c r="F62" s="74">
        <f>E62/B62*100</f>
        <v>22.698898763923985</v>
      </c>
      <c r="G62" s="16" t="s">
        <v>60</v>
      </c>
      <c r="AC62" s="301" t="str">
        <f t="shared" ref="AC62:AD62" si="16">AK46</f>
        <v>steel packaging</v>
      </c>
      <c r="AD62" s="152">
        <f t="shared" si="16"/>
        <v>74.911593431091845</v>
      </c>
      <c r="AG62" s="268"/>
      <c r="AH62" s="268"/>
      <c r="AI62" s="268"/>
      <c r="AJ62" s="268"/>
    </row>
    <row r="63" spans="1:42" x14ac:dyDescent="0.2">
      <c r="A63" s="3" t="s">
        <v>145</v>
      </c>
      <c r="B63" s="4">
        <v>31779682</v>
      </c>
      <c r="C63" s="4">
        <v>29083010</v>
      </c>
      <c r="D63"/>
      <c r="E63" s="15">
        <f>B63-C63</f>
        <v>2696672</v>
      </c>
      <c r="F63" s="74">
        <f>E63/B63*100</f>
        <v>8.4855222906258163</v>
      </c>
      <c r="G63" s="16" t="s">
        <v>60</v>
      </c>
      <c r="AC63" s="301" t="str">
        <f t="shared" ref="AC63:AD63" si="17">AK47</f>
        <v>alu packaging</v>
      </c>
      <c r="AD63" s="152">
        <f t="shared" si="17"/>
        <v>56.535148150433997</v>
      </c>
      <c r="AG63" s="268"/>
      <c r="AH63" s="268"/>
      <c r="AI63" s="268"/>
      <c r="AJ63" s="268"/>
    </row>
    <row r="64" spans="1:42" x14ac:dyDescent="0.2">
      <c r="A64" s="3" t="s">
        <v>144</v>
      </c>
      <c r="B64" s="4">
        <v>14944821</v>
      </c>
      <c r="C64" s="4">
        <v>9478600</v>
      </c>
      <c r="D64"/>
      <c r="E64" s="15">
        <f>B64-C64</f>
        <v>5466221</v>
      </c>
      <c r="F64" s="74">
        <f>E64/B64*100</f>
        <v>36.576021887448498</v>
      </c>
      <c r="G64" s="16" t="s">
        <v>60</v>
      </c>
      <c r="AC64" s="301" t="str">
        <f t="shared" ref="AC64:AD64" si="18">AK48</f>
        <v>glass packaging</v>
      </c>
      <c r="AD64" s="152">
        <f t="shared" si="18"/>
        <v>71.162589235423198</v>
      </c>
      <c r="AG64" s="268"/>
      <c r="AH64" s="268"/>
      <c r="AI64" s="268"/>
      <c r="AJ64" s="268"/>
    </row>
    <row r="65" spans="1:36" x14ac:dyDescent="0.2">
      <c r="A65" s="3" t="s">
        <v>297</v>
      </c>
      <c r="B65" s="4">
        <v>12380655</v>
      </c>
      <c r="C65" s="4">
        <v>8375813</v>
      </c>
      <c r="D65"/>
      <c r="E65" s="15">
        <f>B65-C65</f>
        <v>4004842</v>
      </c>
      <c r="F65" s="74">
        <f>E65/B65*100</f>
        <v>32.347577733165167</v>
      </c>
      <c r="G65" s="16" t="s">
        <v>60</v>
      </c>
      <c r="AC65" s="301" t="str">
        <f>AK49</f>
        <v>wood packaging</v>
      </c>
      <c r="AD65" s="152">
        <f>AL49</f>
        <v>37.687432530831366</v>
      </c>
      <c r="AG65" s="268"/>
      <c r="AH65" s="268"/>
      <c r="AI65" s="268"/>
      <c r="AJ65" s="268"/>
    </row>
    <row r="66" spans="1:36" x14ac:dyDescent="0.2">
      <c r="A66" s="3" t="s">
        <v>143</v>
      </c>
      <c r="B66" s="4">
        <v>4612009</v>
      </c>
      <c r="C66" s="4">
        <v>3360949</v>
      </c>
      <c r="D66"/>
      <c r="E66" s="15">
        <f>B66-C66</f>
        <v>1251060</v>
      </c>
      <c r="F66" s="74">
        <f>E66/B66*100</f>
        <v>27.126139606405797</v>
      </c>
      <c r="G66" s="16" t="s">
        <v>60</v>
      </c>
      <c r="AC66" s="152"/>
      <c r="AD66" s="152"/>
      <c r="AG66" s="268"/>
      <c r="AH66" s="268"/>
      <c r="AI66" s="268"/>
      <c r="AJ66" s="268"/>
    </row>
    <row r="67" spans="1:36" ht="15" x14ac:dyDescent="0.25">
      <c r="A67" s="3" t="s">
        <v>173</v>
      </c>
      <c r="B67" s="303" t="s">
        <v>45</v>
      </c>
      <c r="C67" s="303" t="s">
        <v>45</v>
      </c>
      <c r="D67"/>
      <c r="E67" s="15"/>
      <c r="F67" s="74"/>
      <c r="G67" s="16"/>
      <c r="AC67" s="148" t="s">
        <v>237</v>
      </c>
      <c r="AD67" s="152"/>
      <c r="AG67" s="268"/>
      <c r="AH67" s="268"/>
      <c r="AI67" s="268"/>
      <c r="AJ67" s="268"/>
    </row>
    <row r="68" spans="1:36" ht="15" x14ac:dyDescent="0.25">
      <c r="A68" s="3" t="s">
        <v>172</v>
      </c>
      <c r="B68" s="303" t="s">
        <v>45</v>
      </c>
      <c r="C68" s="303" t="s">
        <v>45</v>
      </c>
      <c r="D68"/>
      <c r="E68" s="15"/>
      <c r="F68" s="74"/>
      <c r="G68" s="16"/>
      <c r="AC68" s="148"/>
      <c r="AD68" s="152"/>
      <c r="AG68" s="268"/>
      <c r="AH68" s="268"/>
      <c r="AI68" s="268"/>
      <c r="AJ68" s="268"/>
    </row>
    <row r="69" spans="1:36" ht="15" x14ac:dyDescent="0.25">
      <c r="A69" s="3" t="s">
        <v>112</v>
      </c>
      <c r="B69" s="4">
        <v>16170148</v>
      </c>
      <c r="C69" s="4">
        <v>11527122</v>
      </c>
      <c r="D69"/>
      <c r="E69" s="15">
        <f>B69-C69</f>
        <v>4643026</v>
      </c>
      <c r="F69" s="74">
        <f>E69/B69*100</f>
        <v>28.713565268542997</v>
      </c>
      <c r="G69" s="16" t="s">
        <v>60</v>
      </c>
      <c r="AC69" s="148"/>
      <c r="AD69">
        <v>2020</v>
      </c>
      <c r="AE69">
        <v>2025</v>
      </c>
      <c r="AF69">
        <v>2030</v>
      </c>
      <c r="AG69" s="268"/>
      <c r="AH69" s="268"/>
      <c r="AI69" s="268"/>
      <c r="AJ69" s="268"/>
    </row>
    <row r="70" spans="1:36" x14ac:dyDescent="0.2">
      <c r="D70"/>
      <c r="G70"/>
      <c r="AC70" s="301" t="s">
        <v>286</v>
      </c>
      <c r="AD70" s="20">
        <v>60</v>
      </c>
      <c r="AE70" s="20">
        <v>70</v>
      </c>
      <c r="AF70" s="20">
        <v>80</v>
      </c>
      <c r="AG70" s="268"/>
      <c r="AH70" s="268"/>
      <c r="AI70" s="268"/>
      <c r="AJ70" s="268"/>
    </row>
    <row r="71" spans="1:36" x14ac:dyDescent="0.2">
      <c r="A71" s="1" t="s">
        <v>298</v>
      </c>
      <c r="D71"/>
      <c r="G71"/>
      <c r="AC71" s="301" t="s">
        <v>144</v>
      </c>
      <c r="AD71" s="20">
        <v>45</v>
      </c>
      <c r="AE71" s="20">
        <v>60</v>
      </c>
      <c r="AF71" s="20">
        <v>60</v>
      </c>
      <c r="AG71" s="268"/>
      <c r="AH71" s="268"/>
      <c r="AI71" s="268"/>
      <c r="AJ71" s="268"/>
    </row>
    <row r="72" spans="1:36" x14ac:dyDescent="0.2">
      <c r="A72" s="1" t="s">
        <v>45</v>
      </c>
      <c r="B72" s="1" t="s">
        <v>299</v>
      </c>
      <c r="D72"/>
      <c r="G72"/>
      <c r="AC72" s="301" t="s">
        <v>287</v>
      </c>
      <c r="AD72" s="20">
        <v>85</v>
      </c>
      <c r="AE72" s="20">
        <v>90</v>
      </c>
      <c r="AF72" s="20">
        <v>90</v>
      </c>
      <c r="AG72" s="268"/>
      <c r="AH72" s="268"/>
      <c r="AI72" s="268"/>
      <c r="AJ72" s="268"/>
    </row>
    <row r="73" spans="1:36" x14ac:dyDescent="0.2">
      <c r="AC73" s="301" t="s">
        <v>288</v>
      </c>
      <c r="AD73" s="20">
        <v>70</v>
      </c>
      <c r="AE73" s="20">
        <v>80</v>
      </c>
      <c r="AF73" s="20">
        <v>90</v>
      </c>
    </row>
    <row r="74" spans="1:36" x14ac:dyDescent="0.2">
      <c r="AC74" s="301" t="s">
        <v>112</v>
      </c>
      <c r="AD74" s="20">
        <v>70</v>
      </c>
      <c r="AE74" s="20">
        <v>80</v>
      </c>
      <c r="AF74" s="20">
        <v>90</v>
      </c>
    </row>
    <row r="75" spans="1:36" x14ac:dyDescent="0.2">
      <c r="AC75" s="301" t="s">
        <v>289</v>
      </c>
      <c r="AD75" s="20">
        <v>85</v>
      </c>
      <c r="AE75" s="20">
        <v>90</v>
      </c>
      <c r="AF75" s="20">
        <v>90</v>
      </c>
    </row>
    <row r="76" spans="1:36" x14ac:dyDescent="0.2">
      <c r="AC76" s="301" t="s">
        <v>290</v>
      </c>
      <c r="AD76" s="20">
        <v>50</v>
      </c>
      <c r="AE76" s="20">
        <v>65</v>
      </c>
      <c r="AF76" s="20">
        <v>80</v>
      </c>
    </row>
    <row r="77" spans="1:36" ht="15" x14ac:dyDescent="0.25">
      <c r="AC77" s="148"/>
      <c r="AD77" s="152"/>
    </row>
    <row r="78" spans="1:36" ht="15" x14ac:dyDescent="0.25">
      <c r="AC78" s="148" t="s">
        <v>238</v>
      </c>
      <c r="AD78" s="152"/>
    </row>
    <row r="79" spans="1:36" ht="15" x14ac:dyDescent="0.25">
      <c r="AC79" s="148"/>
      <c r="AD79" s="152" t="s">
        <v>300</v>
      </c>
      <c r="AE79" s="16" t="s">
        <v>301</v>
      </c>
    </row>
    <row r="80" spans="1:36" ht="15" x14ac:dyDescent="0.25">
      <c r="AC80" s="148"/>
      <c r="AD80" s="152"/>
      <c r="AE80">
        <v>2020</v>
      </c>
      <c r="AF80">
        <v>2025</v>
      </c>
      <c r="AG80">
        <v>2030</v>
      </c>
    </row>
    <row r="81" spans="29:33" x14ac:dyDescent="0.2">
      <c r="AC81" s="301" t="str">
        <f t="shared" ref="AC81:AC88" si="19">A62</f>
        <v>Packaging</v>
      </c>
      <c r="AD81" s="301">
        <f>F62</f>
        <v>22.698898763923985</v>
      </c>
      <c r="AE81" s="301">
        <v>0</v>
      </c>
      <c r="AF81" s="301">
        <f>IF(25-AD81&gt;0,0,25-AD81)</f>
        <v>0</v>
      </c>
      <c r="AG81" s="301">
        <f>IF(5-AD81&gt;0,0,5-AD81)</f>
        <v>-17.698898763923985</v>
      </c>
    </row>
    <row r="82" spans="29:33" x14ac:dyDescent="0.2">
      <c r="AC82" s="301" t="str">
        <f t="shared" si="19"/>
        <v>Paper and cardboard packaging</v>
      </c>
      <c r="AD82" s="301">
        <f t="shared" ref="AD82:AD88" si="20">F63</f>
        <v>8.4855222906258163</v>
      </c>
      <c r="AE82" s="301">
        <v>0</v>
      </c>
      <c r="AF82" s="301">
        <f t="shared" ref="AF82:AF88" si="21">IF(25-AD82&gt;0,0,25-AD82)</f>
        <v>0</v>
      </c>
      <c r="AG82" s="301">
        <f t="shared" ref="AG82:AG88" si="22">IF(5-AD82&gt;0,0,5-AD82)</f>
        <v>-3.4855222906258163</v>
      </c>
    </row>
    <row r="83" spans="29:33" x14ac:dyDescent="0.2">
      <c r="AC83" s="301" t="str">
        <f t="shared" si="19"/>
        <v>Plastic packaging</v>
      </c>
      <c r="AD83" s="301">
        <f t="shared" si="20"/>
        <v>36.576021887448498</v>
      </c>
      <c r="AE83" s="301">
        <v>0</v>
      </c>
      <c r="AF83" s="301">
        <f t="shared" si="21"/>
        <v>-11.576021887448498</v>
      </c>
      <c r="AG83" s="301">
        <f t="shared" si="22"/>
        <v>-31.576021887448498</v>
      </c>
    </row>
    <row r="84" spans="29:33" x14ac:dyDescent="0.2">
      <c r="AC84" s="301" t="str">
        <f t="shared" si="19"/>
        <v>Wooden packaging</v>
      </c>
      <c r="AD84" s="301">
        <f t="shared" si="20"/>
        <v>32.347577733165167</v>
      </c>
      <c r="AE84" s="301">
        <v>0</v>
      </c>
      <c r="AF84" s="301">
        <f t="shared" si="21"/>
        <v>-7.347577733165167</v>
      </c>
      <c r="AG84" s="301">
        <f t="shared" si="22"/>
        <v>-27.347577733165167</v>
      </c>
    </row>
    <row r="85" spans="29:33" x14ac:dyDescent="0.2">
      <c r="AC85" s="301" t="str">
        <f t="shared" si="19"/>
        <v>Metallic packaging</v>
      </c>
      <c r="AD85" s="301">
        <f t="shared" si="20"/>
        <v>27.126139606405797</v>
      </c>
      <c r="AE85" s="301">
        <v>0</v>
      </c>
      <c r="AF85" s="301">
        <f t="shared" si="21"/>
        <v>-2.1261396064057969</v>
      </c>
      <c r="AG85" s="301">
        <f t="shared" si="22"/>
        <v>-22.126139606405797</v>
      </c>
    </row>
    <row r="86" spans="29:33" x14ac:dyDescent="0.2">
      <c r="AC86" s="301" t="str">
        <f t="shared" si="19"/>
        <v>Aluminium packaging</v>
      </c>
      <c r="AD86" s="301"/>
      <c r="AE86" s="301"/>
      <c r="AF86" s="301"/>
      <c r="AG86" s="301"/>
    </row>
    <row r="87" spans="29:33" x14ac:dyDescent="0.2">
      <c r="AC87" s="301" t="str">
        <f t="shared" si="19"/>
        <v>Steel packaging</v>
      </c>
      <c r="AD87" s="301"/>
      <c r="AE87" s="301"/>
      <c r="AF87" s="301"/>
      <c r="AG87" s="301"/>
    </row>
    <row r="88" spans="29:33" x14ac:dyDescent="0.2">
      <c r="AC88" s="301" t="str">
        <f t="shared" si="19"/>
        <v>Glass packaging</v>
      </c>
      <c r="AD88" s="301">
        <f t="shared" si="20"/>
        <v>28.713565268542997</v>
      </c>
      <c r="AE88" s="301">
        <v>0</v>
      </c>
      <c r="AF88" s="301">
        <f t="shared" si="21"/>
        <v>-3.7135652685429967</v>
      </c>
      <c r="AG88" s="301">
        <f t="shared" si="22"/>
        <v>-23.713565268542997</v>
      </c>
    </row>
    <row r="89" spans="29:33" x14ac:dyDescent="0.2">
      <c r="AC89" s="301"/>
    </row>
    <row r="90" spans="29:33" x14ac:dyDescent="0.2">
      <c r="AC90" s="301"/>
    </row>
    <row r="91" spans="29:33" ht="15" x14ac:dyDescent="0.25">
      <c r="AC91" s="148" t="s">
        <v>235</v>
      </c>
    </row>
    <row r="93" spans="29:33" x14ac:dyDescent="0.2">
      <c r="AC93" s="112" t="s">
        <v>259</v>
      </c>
    </row>
    <row r="94" spans="29:33" x14ac:dyDescent="0.2">
      <c r="AD94">
        <v>2020</v>
      </c>
      <c r="AE94">
        <v>2025</v>
      </c>
      <c r="AF94">
        <v>2030</v>
      </c>
    </row>
    <row r="95" spans="29:33" x14ac:dyDescent="0.2">
      <c r="AC95" s="302" t="str">
        <f t="shared" ref="AC95:AC101" si="23">AC70</f>
        <v>Overall recycling/preparation for reuse</v>
      </c>
      <c r="AD95" s="20">
        <f>MAX(AD70,$AD58,$AF28)</f>
        <v>63.629613157655903</v>
      </c>
      <c r="AE95" s="20">
        <f t="shared" ref="AE95:AF95" si="24">MAX(AE70,$AD58,$AF28)</f>
        <v>70</v>
      </c>
      <c r="AF95" s="20">
        <f t="shared" si="24"/>
        <v>80</v>
      </c>
    </row>
    <row r="96" spans="29:33" x14ac:dyDescent="0.2">
      <c r="AC96" s="302" t="str">
        <f t="shared" si="23"/>
        <v>Plastic packaging</v>
      </c>
      <c r="AD96" s="20">
        <f>MAX(AD71,$AD60,$AF31)</f>
        <v>45</v>
      </c>
      <c r="AE96" s="20">
        <f t="shared" ref="AE96:AF96" si="25">MAX(AE71,$AD60,$AF31)</f>
        <v>60</v>
      </c>
      <c r="AF96" s="20">
        <f t="shared" si="25"/>
        <v>60</v>
      </c>
    </row>
    <row r="97" spans="29:32" x14ac:dyDescent="0.2">
      <c r="AC97" s="302" t="str">
        <f t="shared" si="23"/>
        <v>Non ferrous metal packaging</v>
      </c>
      <c r="AD97" s="20">
        <f>MAX(AD72,$AD63,$AF34)</f>
        <v>85</v>
      </c>
      <c r="AE97" s="20">
        <f>MAX(AE72,$AD63,$AF34)</f>
        <v>90</v>
      </c>
      <c r="AF97" s="20">
        <f t="shared" ref="AF97" si="26">MAX(AF72,$AD63,$AF34)</f>
        <v>90</v>
      </c>
    </row>
    <row r="98" spans="29:32" x14ac:dyDescent="0.2">
      <c r="AC98" s="302" t="str">
        <f t="shared" si="23"/>
        <v>Ferrous metal packaging</v>
      </c>
      <c r="AD98" s="20">
        <f>MAX(AD73,$AD$62,$AF$33)</f>
        <v>74.911593431091845</v>
      </c>
      <c r="AE98" s="20">
        <f t="shared" ref="AE98:AF98" si="27">MAX(AE73,$AD$62,$AF$33)</f>
        <v>80</v>
      </c>
      <c r="AF98" s="20">
        <f t="shared" si="27"/>
        <v>90</v>
      </c>
    </row>
    <row r="99" spans="29:32" x14ac:dyDescent="0.2">
      <c r="AC99" s="302" t="str">
        <f t="shared" si="23"/>
        <v>Glass packaging</v>
      </c>
      <c r="AD99" s="20">
        <f>MAX(AD74,$AD$64,$AF$35)</f>
        <v>71.162589235423198</v>
      </c>
      <c r="AE99" s="20">
        <f t="shared" ref="AE99:AF99" si="28">MAX(AE74,$AD$64,$AF$35)</f>
        <v>80</v>
      </c>
      <c r="AF99" s="20">
        <f t="shared" si="28"/>
        <v>90</v>
      </c>
    </row>
    <row r="100" spans="29:32" x14ac:dyDescent="0.2">
      <c r="AC100" s="302" t="str">
        <f t="shared" si="23"/>
        <v>Paper/Cardboard packaging</v>
      </c>
      <c r="AD100" s="20">
        <f>MAX(AD75,$AD$59,$AF$30)</f>
        <v>85</v>
      </c>
      <c r="AE100" s="20">
        <f t="shared" ref="AE100:AF100" si="29">MAX(AE75,$AD$59,$AF$30)</f>
        <v>90</v>
      </c>
      <c r="AF100" s="20">
        <f t="shared" si="29"/>
        <v>90</v>
      </c>
    </row>
    <row r="101" spans="29:32" x14ac:dyDescent="0.2">
      <c r="AC101" s="302" t="str">
        <f t="shared" si="23"/>
        <v>Wood packaging</v>
      </c>
      <c r="AD101" s="20">
        <f>MAX(AD76,$AD$65,$AF$36)</f>
        <v>50</v>
      </c>
      <c r="AE101" s="20">
        <f t="shared" ref="AE101:AF101" si="30">MAX(AE76,$AD$65,$AF$36)</f>
        <v>65</v>
      </c>
      <c r="AF101" s="20">
        <f t="shared" si="30"/>
        <v>80</v>
      </c>
    </row>
    <row r="102" spans="29:32" x14ac:dyDescent="0.2">
      <c r="AD102" s="20"/>
    </row>
    <row r="103" spans="29:32" x14ac:dyDescent="0.2">
      <c r="AC103" s="302"/>
    </row>
    <row r="104" spans="29:32" ht="15" x14ac:dyDescent="0.25">
      <c r="AC104" s="148" t="s">
        <v>142</v>
      </c>
    </row>
    <row r="106" spans="29:32" x14ac:dyDescent="0.2">
      <c r="AC106" t="s">
        <v>146</v>
      </c>
      <c r="AD106" s="20">
        <f>(AA17+AA21+AA34)/3</f>
        <v>74.622434906536128</v>
      </c>
      <c r="AE106" s="16" t="s">
        <v>60</v>
      </c>
    </row>
    <row r="108" spans="29:32" x14ac:dyDescent="0.2">
      <c r="AC108" s="16" t="s">
        <v>147</v>
      </c>
      <c r="AD108" s="20">
        <f>(D18+D32+D41)/3</f>
        <v>96.316042954113598</v>
      </c>
      <c r="AE108" s="16" t="s">
        <v>60</v>
      </c>
    </row>
    <row r="109" spans="29:32" x14ac:dyDescent="0.2">
      <c r="AC109" s="16" t="s">
        <v>148</v>
      </c>
      <c r="AD109" s="20">
        <f>(G19+G34+G39)/3</f>
        <v>61.084581859031971</v>
      </c>
      <c r="AE109" s="16" t="s">
        <v>60</v>
      </c>
    </row>
    <row r="110" spans="29:32" x14ac:dyDescent="0.2">
      <c r="AC110" s="16" t="s">
        <v>149</v>
      </c>
      <c r="AD110" s="20">
        <f>(J17+J21+J34)/3</f>
        <v>93.818603065948636</v>
      </c>
      <c r="AE110" s="16" t="s">
        <v>60</v>
      </c>
    </row>
    <row r="111" spans="29:32" x14ac:dyDescent="0.2">
      <c r="AC111" s="16" t="s">
        <v>169</v>
      </c>
      <c r="AD111" s="20">
        <f>(M21+M32+M34)/3</f>
        <v>91.457878218315798</v>
      </c>
      <c r="AE111" s="16" t="s">
        <v>60</v>
      </c>
    </row>
    <row r="112" spans="29:32" x14ac:dyDescent="0.2">
      <c r="AC112" s="16" t="s">
        <v>170</v>
      </c>
      <c r="AD112" s="20">
        <f>(P17+P21+P34)/3</f>
        <v>78.888804093375271</v>
      </c>
      <c r="AE112" s="16" t="s">
        <v>60</v>
      </c>
    </row>
    <row r="113" spans="29:31" x14ac:dyDescent="0.2">
      <c r="AC113" s="16" t="s">
        <v>150</v>
      </c>
      <c r="AD113" s="20">
        <f>(S17+S31+S42)/3</f>
        <v>95.803701345193829</v>
      </c>
      <c r="AE113" s="16" t="s">
        <v>60</v>
      </c>
    </row>
    <row r="114" spans="29:31" x14ac:dyDescent="0.2">
      <c r="AC114" s="16" t="s">
        <v>168</v>
      </c>
      <c r="AD114" s="20">
        <f>(V23+V24+V37)/3</f>
        <v>78.922901121353291</v>
      </c>
      <c r="AE114" s="16" t="s">
        <v>60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98"/>
  <sheetViews>
    <sheetView workbookViewId="0">
      <selection activeCell="I24" sqref="I24:K25"/>
    </sheetView>
  </sheetViews>
  <sheetFormatPr defaultRowHeight="12.75" x14ac:dyDescent="0.2"/>
  <cols>
    <col min="1" max="2" width="9" style="153"/>
    <col min="3" max="3" width="23.875" style="153" bestFit="1" customWidth="1"/>
    <col min="4" max="4" width="16.625" style="153" bestFit="1" customWidth="1"/>
    <col min="5" max="5" width="13.5" style="253" bestFit="1" customWidth="1"/>
    <col min="6" max="6" width="8.5" style="253" bestFit="1" customWidth="1"/>
    <col min="7" max="7" width="9.375" style="255" bestFit="1" customWidth="1"/>
    <col min="8" max="8" width="16.875" style="153" customWidth="1"/>
    <col min="9" max="16384" width="9" style="153"/>
  </cols>
  <sheetData>
    <row r="4" spans="3:10" x14ac:dyDescent="0.2">
      <c r="C4" s="153" t="s">
        <v>54</v>
      </c>
    </row>
    <row r="6" spans="3:10" x14ac:dyDescent="0.2">
      <c r="C6" s="153" t="s">
        <v>1</v>
      </c>
      <c r="D6" s="251">
        <v>41555.472337962965</v>
      </c>
    </row>
    <row r="7" spans="3:10" x14ac:dyDescent="0.2">
      <c r="C7" s="153" t="s">
        <v>2</v>
      </c>
      <c r="D7" s="251">
        <v>41646.648303090275</v>
      </c>
    </row>
    <row r="8" spans="3:10" x14ac:dyDescent="0.2">
      <c r="C8" s="153" t="s">
        <v>3</v>
      </c>
      <c r="D8" s="153" t="s">
        <v>4</v>
      </c>
    </row>
    <row r="10" spans="3:10" x14ac:dyDescent="0.2">
      <c r="C10" s="153" t="s">
        <v>51</v>
      </c>
      <c r="D10" s="153" t="s">
        <v>50</v>
      </c>
    </row>
    <row r="11" spans="3:10" x14ac:dyDescent="0.2">
      <c r="C11" s="153" t="s">
        <v>7</v>
      </c>
      <c r="D11" s="153" t="s">
        <v>49</v>
      </c>
    </row>
    <row r="12" spans="3:10" x14ac:dyDescent="0.2">
      <c r="C12" s="153" t="s">
        <v>56</v>
      </c>
      <c r="D12" s="153" t="s">
        <v>15</v>
      </c>
    </row>
    <row r="14" spans="3:10" x14ac:dyDescent="0.2">
      <c r="C14" s="153" t="s">
        <v>175</v>
      </c>
      <c r="D14" s="153" t="s">
        <v>174</v>
      </c>
      <c r="E14" s="253" t="s">
        <v>6</v>
      </c>
      <c r="F14" s="253" t="s">
        <v>48</v>
      </c>
      <c r="G14" s="256" t="s">
        <v>60</v>
      </c>
      <c r="I14" s="254" t="s">
        <v>267</v>
      </c>
      <c r="J14" s="155">
        <f>E26+E32+E38+E41+E47+E50+E53+E95+E98</f>
        <v>2683341</v>
      </c>
    </row>
    <row r="15" spans="3:10" x14ac:dyDescent="0.2">
      <c r="C15" s="153" t="s">
        <v>17</v>
      </c>
      <c r="D15" s="153" t="s">
        <v>143</v>
      </c>
      <c r="E15" s="258">
        <v>4612009</v>
      </c>
      <c r="F15" s="258">
        <v>3333448</v>
      </c>
      <c r="G15" s="255">
        <f>F15/E15*100</f>
        <v>72.277569276209135</v>
      </c>
      <c r="I15" s="318" t="s">
        <v>307</v>
      </c>
      <c r="J15" s="155">
        <f>E25+E31+E37+E40+E46+E49+E52+E94+E97</f>
        <v>448977</v>
      </c>
    </row>
    <row r="16" spans="3:10" x14ac:dyDescent="0.2">
      <c r="C16" s="153" t="s">
        <v>17</v>
      </c>
      <c r="D16" s="153" t="s">
        <v>173</v>
      </c>
      <c r="E16" s="261">
        <f>E15*$J$18/100</f>
        <v>661071.43808291492</v>
      </c>
      <c r="F16" s="261">
        <f>F15*$J$25/100</f>
        <v>373737.7169003805</v>
      </c>
      <c r="G16" s="262">
        <f t="shared" ref="G16:G79" si="0">F16/E16*100</f>
        <v>56.535148150433997</v>
      </c>
    </row>
    <row r="17" spans="3:12" x14ac:dyDescent="0.2">
      <c r="C17" s="153" t="s">
        <v>17</v>
      </c>
      <c r="D17" s="153" t="s">
        <v>172</v>
      </c>
      <c r="E17" s="261">
        <f>E15*$J$17/100</f>
        <v>3950937.5619170852</v>
      </c>
      <c r="F17" s="261">
        <f>F15*$J$24/100</f>
        <v>2959710.2830996197</v>
      </c>
      <c r="G17" s="262">
        <f t="shared" si="0"/>
        <v>74.911593431091845</v>
      </c>
      <c r="I17" s="254" t="s">
        <v>171</v>
      </c>
      <c r="J17" s="154">
        <f>J14/SUM($J$14:$J$15)*100</f>
        <v>85.666302080440104</v>
      </c>
      <c r="K17" s="252" t="s">
        <v>60</v>
      </c>
    </row>
    <row r="18" spans="3:12" x14ac:dyDescent="0.2">
      <c r="C18" s="153" t="s">
        <v>18</v>
      </c>
      <c r="D18" s="153" t="s">
        <v>143</v>
      </c>
      <c r="E18" s="258">
        <v>127584</v>
      </c>
      <c r="F18" s="258">
        <v>124285</v>
      </c>
      <c r="G18" s="255">
        <f>F18/E18*100</f>
        <v>97.414252570855268</v>
      </c>
      <c r="I18" s="254" t="s">
        <v>268</v>
      </c>
      <c r="J18" s="154">
        <f>J15/SUM($J$14:$J$15)*100</f>
        <v>14.33369791955989</v>
      </c>
      <c r="K18" s="252" t="s">
        <v>60</v>
      </c>
    </row>
    <row r="19" spans="3:12" x14ac:dyDescent="0.2">
      <c r="C19" s="153" t="s">
        <v>18</v>
      </c>
      <c r="D19" s="153" t="s">
        <v>173</v>
      </c>
      <c r="E19" s="261">
        <f>E18*$J$18/100</f>
        <v>18287.505153691291</v>
      </c>
      <c r="F19" s="261">
        <f>F18*$J$25/100</f>
        <v>13934.51829605975</v>
      </c>
      <c r="G19" s="262">
        <f t="shared" si="0"/>
        <v>76.196934349172835</v>
      </c>
      <c r="J19" s="154"/>
    </row>
    <row r="20" spans="3:12" x14ac:dyDescent="0.2">
      <c r="C20" s="153" t="s">
        <v>18</v>
      </c>
      <c r="D20" s="153" t="s">
        <v>172</v>
      </c>
      <c r="E20" s="261">
        <f>E18*$J$17/100</f>
        <v>109296.49484630869</v>
      </c>
      <c r="F20" s="261">
        <f>F18*$J$24/100</f>
        <v>110350.48170394026</v>
      </c>
      <c r="G20" s="262">
        <f t="shared" si="0"/>
        <v>100.96433729106653</v>
      </c>
    </row>
    <row r="21" spans="3:12" x14ac:dyDescent="0.2">
      <c r="C21" s="153" t="s">
        <v>19</v>
      </c>
      <c r="D21" s="153" t="s">
        <v>143</v>
      </c>
      <c r="E21" s="258">
        <v>13414</v>
      </c>
      <c r="F21" s="258">
        <v>9381</v>
      </c>
      <c r="G21" s="255">
        <f>F21/E21*100</f>
        <v>69.934396898762486</v>
      </c>
      <c r="I21" s="254" t="s">
        <v>269</v>
      </c>
      <c r="J21" s="155">
        <f>F26+F32+F38+F41+F47+F50+F53+F95+F98</f>
        <v>2016898</v>
      </c>
    </row>
    <row r="22" spans="3:12" x14ac:dyDescent="0.2">
      <c r="C22" s="153" t="s">
        <v>19</v>
      </c>
      <c r="D22" s="153" t="s">
        <v>173</v>
      </c>
      <c r="E22" s="261">
        <f>E21*$J$18/100</f>
        <v>1922.7222389297635</v>
      </c>
      <c r="F22" s="261">
        <f>F21*$J$25/100</f>
        <v>1051.7738756514184</v>
      </c>
      <c r="G22" s="262">
        <f t="shared" si="0"/>
        <v>54.702330599601467</v>
      </c>
      <c r="I22" s="254" t="s">
        <v>270</v>
      </c>
      <c r="J22" s="155">
        <f>F25+F31+F37+F40+F46+F49+F52+F94+F97</f>
        <v>254684</v>
      </c>
    </row>
    <row r="23" spans="3:12" x14ac:dyDescent="0.2">
      <c r="C23" s="153" t="s">
        <v>19</v>
      </c>
      <c r="D23" s="153" t="s">
        <v>172</v>
      </c>
      <c r="E23" s="261">
        <f>E21*$J$17/100</f>
        <v>11491.277761070234</v>
      </c>
      <c r="F23" s="261">
        <f>F21*$J$24/100</f>
        <v>8329.2261243485827</v>
      </c>
      <c r="G23" s="262">
        <f t="shared" si="0"/>
        <v>72.483028411044558</v>
      </c>
    </row>
    <row r="24" spans="3:12" x14ac:dyDescent="0.2">
      <c r="C24" s="257" t="s">
        <v>20</v>
      </c>
      <c r="D24" s="257" t="s">
        <v>143</v>
      </c>
      <c r="E24" s="259">
        <v>51282</v>
      </c>
      <c r="F24" s="259">
        <v>34850</v>
      </c>
      <c r="G24" s="260">
        <f>F24/E24*100</f>
        <v>67.95756795756796</v>
      </c>
      <c r="I24" s="254" t="s">
        <v>271</v>
      </c>
      <c r="J24" s="154">
        <f>J21/($J$21+$J$22)*100</f>
        <v>88.788254177044905</v>
      </c>
      <c r="K24" s="252" t="s">
        <v>60</v>
      </c>
    </row>
    <row r="25" spans="3:12" x14ac:dyDescent="0.2">
      <c r="C25" s="257" t="s">
        <v>20</v>
      </c>
      <c r="D25" s="257" t="s">
        <v>173</v>
      </c>
      <c r="E25" s="259">
        <v>9086</v>
      </c>
      <c r="F25" s="259">
        <v>2628</v>
      </c>
      <c r="G25" s="260">
        <f t="shared" si="0"/>
        <v>28.923618754127229</v>
      </c>
      <c r="I25" s="254" t="s">
        <v>272</v>
      </c>
      <c r="J25" s="154">
        <f>J22/($J$21+$J$22)*100</f>
        <v>11.211745822955104</v>
      </c>
      <c r="K25" s="252" t="s">
        <v>60</v>
      </c>
    </row>
    <row r="26" spans="3:12" x14ac:dyDescent="0.2">
      <c r="C26" s="257" t="s">
        <v>20</v>
      </c>
      <c r="D26" s="257" t="s">
        <v>172</v>
      </c>
      <c r="E26" s="259">
        <v>42196</v>
      </c>
      <c r="F26" s="259">
        <v>32223</v>
      </c>
      <c r="G26" s="260">
        <f t="shared" si="0"/>
        <v>76.365058299364875</v>
      </c>
    </row>
    <row r="27" spans="3:12" x14ac:dyDescent="0.2">
      <c r="C27" s="153" t="s">
        <v>21</v>
      </c>
      <c r="D27" s="153" t="s">
        <v>143</v>
      </c>
      <c r="E27" s="258">
        <v>43371</v>
      </c>
      <c r="F27" s="258">
        <v>25167</v>
      </c>
      <c r="G27" s="255">
        <f t="shared" si="0"/>
        <v>58.027253233727606</v>
      </c>
    </row>
    <row r="28" spans="3:12" x14ac:dyDescent="0.2">
      <c r="C28" s="153" t="s">
        <v>21</v>
      </c>
      <c r="D28" s="153" t="s">
        <v>173</v>
      </c>
      <c r="E28" s="261">
        <f>E27*$J$18/100</f>
        <v>6216.6681246923199</v>
      </c>
      <c r="F28" s="261">
        <f>F27*$J$25/100</f>
        <v>2821.6600712631107</v>
      </c>
      <c r="G28" s="262">
        <f t="shared" si="0"/>
        <v>45.388623208879473</v>
      </c>
      <c r="I28" s="252" t="s">
        <v>275</v>
      </c>
    </row>
    <row r="29" spans="3:12" x14ac:dyDescent="0.2">
      <c r="C29" s="153" t="s">
        <v>21</v>
      </c>
      <c r="D29" s="153" t="s">
        <v>172</v>
      </c>
      <c r="E29" s="261">
        <f>E27*$J$17/100</f>
        <v>37154.331875307675</v>
      </c>
      <c r="F29" s="261">
        <f>F27*$J$24/100</f>
        <v>22345.339928736892</v>
      </c>
      <c r="G29" s="262">
        <f t="shared" si="0"/>
        <v>60.14195061757345</v>
      </c>
    </row>
    <row r="30" spans="3:12" x14ac:dyDescent="0.2">
      <c r="C30" s="257" t="s">
        <v>47</v>
      </c>
      <c r="D30" s="257" t="s">
        <v>143</v>
      </c>
      <c r="E30" s="259">
        <v>881100</v>
      </c>
      <c r="F30" s="259">
        <v>818100</v>
      </c>
      <c r="G30" s="260">
        <f t="shared" si="0"/>
        <v>92.849846782431058</v>
      </c>
      <c r="I30" s="254" t="s">
        <v>149</v>
      </c>
      <c r="J30" s="155">
        <f>E18+E21+E24+E27+E30+E33+E36+E39+E42+E45+E48+E51+E54+E57+E60+E63+E66+E69+E72+E75+E78+E81+E84+E87+E90+E93+E96</f>
        <v>4612009</v>
      </c>
    </row>
    <row r="31" spans="3:12" x14ac:dyDescent="0.2">
      <c r="C31" s="257" t="s">
        <v>47</v>
      </c>
      <c r="D31" s="257" t="s">
        <v>173</v>
      </c>
      <c r="E31" s="259">
        <v>93000</v>
      </c>
      <c r="F31" s="259">
        <v>82900</v>
      </c>
      <c r="G31" s="260">
        <f t="shared" si="0"/>
        <v>89.13978494623656</v>
      </c>
      <c r="I31" s="254" t="s">
        <v>170</v>
      </c>
      <c r="J31" s="155">
        <f t="shared" ref="J31:J32" si="1">E19+E22+E25+E28+E31+E34+E37+E40+E43+E46+E49+E52+E55+E58+E61+E64+E67+E70+E73+E76+E79+E82+E85+E88+E91+E94+E97</f>
        <v>661071.43808291503</v>
      </c>
      <c r="K31" s="154">
        <f>J31/$J$30*100</f>
        <v>14.333697919559892</v>
      </c>
      <c r="L31" s="252" t="s">
        <v>60</v>
      </c>
    </row>
    <row r="32" spans="3:12" x14ac:dyDescent="0.2">
      <c r="C32" s="257" t="s">
        <v>47</v>
      </c>
      <c r="D32" s="257" t="s">
        <v>172</v>
      </c>
      <c r="E32" s="259">
        <v>788100</v>
      </c>
      <c r="F32" s="259">
        <v>735200</v>
      </c>
      <c r="G32" s="260">
        <f t="shared" si="0"/>
        <v>93.287653851034136</v>
      </c>
      <c r="I32" s="254" t="s">
        <v>169</v>
      </c>
      <c r="J32" s="155">
        <f t="shared" si="1"/>
        <v>3950937.5619170847</v>
      </c>
      <c r="K32" s="154">
        <f>J32/$J$30*100</f>
        <v>85.666302080440104</v>
      </c>
      <c r="L32" s="252" t="s">
        <v>60</v>
      </c>
    </row>
    <row r="33" spans="3:12" x14ac:dyDescent="0.2">
      <c r="C33" s="153" t="s">
        <v>22</v>
      </c>
      <c r="D33" s="153" t="s">
        <v>143</v>
      </c>
      <c r="E33" s="258">
        <v>29687</v>
      </c>
      <c r="F33" s="258">
        <v>18664</v>
      </c>
      <c r="G33" s="255">
        <f t="shared" si="0"/>
        <v>62.869269377168457</v>
      </c>
      <c r="I33" s="254"/>
      <c r="J33" s="155"/>
      <c r="K33" s="154"/>
      <c r="L33" s="252"/>
    </row>
    <row r="34" spans="3:12" x14ac:dyDescent="0.2">
      <c r="C34" s="153" t="s">
        <v>22</v>
      </c>
      <c r="D34" s="153" t="s">
        <v>173</v>
      </c>
      <c r="E34" s="261">
        <f>E33*$J$18/100</f>
        <v>4255.2449013797441</v>
      </c>
      <c r="F34" s="261">
        <f>F33*$J$25/100</f>
        <v>2092.5602403963408</v>
      </c>
      <c r="G34" s="262">
        <f t="shared" si="0"/>
        <v>49.176023681218382</v>
      </c>
      <c r="I34" s="253"/>
      <c r="J34" s="258">
        <f>SUM(J35:J36)</f>
        <v>3333448.9999999991</v>
      </c>
      <c r="K34" s="154"/>
    </row>
    <row r="35" spans="3:12" x14ac:dyDescent="0.2">
      <c r="C35" s="153" t="s">
        <v>22</v>
      </c>
      <c r="D35" s="153" t="s">
        <v>172</v>
      </c>
      <c r="E35" s="261">
        <f>E33*$J$17/100</f>
        <v>25431.755098620251</v>
      </c>
      <c r="F35" s="261">
        <f>F33*$J$24/100</f>
        <v>16571.439759603662</v>
      </c>
      <c r="G35" s="262">
        <f t="shared" si="0"/>
        <v>65.160425205976878</v>
      </c>
      <c r="I35" s="254" t="s">
        <v>273</v>
      </c>
      <c r="J35" s="155">
        <f>F19+F22+F25+F28+F31+F34+F37+F40+F43+F46+F49+F52+F55+F58+F61+F64+F67+F70+F73+F76+F79+F82+F85+F88+F91+F94+F97</f>
        <v>373737.8290178387</v>
      </c>
      <c r="K35" s="154">
        <f>J35/$J$34*100</f>
        <v>11.211745822955107</v>
      </c>
      <c r="L35" s="252" t="s">
        <v>60</v>
      </c>
    </row>
    <row r="36" spans="3:12" x14ac:dyDescent="0.2">
      <c r="C36" s="257" t="s">
        <v>23</v>
      </c>
      <c r="D36" s="257" t="s">
        <v>143</v>
      </c>
      <c r="E36" s="259">
        <v>57261</v>
      </c>
      <c r="F36" s="259">
        <v>38145</v>
      </c>
      <c r="G36" s="260">
        <f t="shared" si="0"/>
        <v>66.616021375805516</v>
      </c>
      <c r="I36" s="254" t="s">
        <v>274</v>
      </c>
      <c r="J36" s="155">
        <f>F20+F23+F26+F29+F32+F35+F38+F41+F44+F47+F50+F53+F56+F59+F62+F65+F68+F71+F74+F77+F80+F83+F86+F89+F92+F95+F98</f>
        <v>2959711.1709821606</v>
      </c>
      <c r="K36" s="154">
        <f>J36/$J$34*100</f>
        <v>88.788254177044905</v>
      </c>
      <c r="L36" s="252" t="s">
        <v>60</v>
      </c>
    </row>
    <row r="37" spans="3:12" x14ac:dyDescent="0.2">
      <c r="C37" s="257" t="s">
        <v>23</v>
      </c>
      <c r="D37" s="257" t="s">
        <v>173</v>
      </c>
      <c r="E37" s="259">
        <v>12002</v>
      </c>
      <c r="F37" s="259">
        <v>4661</v>
      </c>
      <c r="G37" s="260">
        <f t="shared" si="0"/>
        <v>38.835194134310946</v>
      </c>
    </row>
    <row r="38" spans="3:12" x14ac:dyDescent="0.2">
      <c r="C38" s="257" t="s">
        <v>23</v>
      </c>
      <c r="D38" s="257" t="s">
        <v>172</v>
      </c>
      <c r="E38" s="259">
        <v>45259</v>
      </c>
      <c r="F38" s="259">
        <v>33484</v>
      </c>
      <c r="G38" s="260">
        <f t="shared" si="0"/>
        <v>73.983075189465069</v>
      </c>
    </row>
    <row r="39" spans="3:12" x14ac:dyDescent="0.2">
      <c r="C39" s="257" t="s">
        <v>24</v>
      </c>
      <c r="D39" s="257" t="s">
        <v>143</v>
      </c>
      <c r="E39" s="259">
        <v>119480</v>
      </c>
      <c r="F39" s="259">
        <v>52700</v>
      </c>
      <c r="G39" s="260">
        <f t="shared" si="0"/>
        <v>44.10780046869769</v>
      </c>
    </row>
    <row r="40" spans="3:12" x14ac:dyDescent="0.2">
      <c r="C40" s="257" t="s">
        <v>24</v>
      </c>
      <c r="D40" s="257" t="s">
        <v>173</v>
      </c>
      <c r="E40" s="259">
        <v>20240</v>
      </c>
      <c r="F40" s="259">
        <v>6500</v>
      </c>
      <c r="G40" s="260">
        <f t="shared" si="0"/>
        <v>32.114624505928852</v>
      </c>
    </row>
    <row r="41" spans="3:12" x14ac:dyDescent="0.2">
      <c r="C41" s="257" t="s">
        <v>24</v>
      </c>
      <c r="D41" s="257" t="s">
        <v>172</v>
      </c>
      <c r="E41" s="259">
        <v>99240</v>
      </c>
      <c r="F41" s="259">
        <v>46200</v>
      </c>
      <c r="G41" s="260">
        <f t="shared" si="0"/>
        <v>46.553808948004836</v>
      </c>
    </row>
    <row r="42" spans="3:12" x14ac:dyDescent="0.2">
      <c r="C42" s="153" t="s">
        <v>25</v>
      </c>
      <c r="D42" s="153" t="s">
        <v>143</v>
      </c>
      <c r="E42" s="258">
        <v>426307</v>
      </c>
      <c r="F42" s="258">
        <v>320726</v>
      </c>
      <c r="G42" s="255">
        <f t="shared" si="0"/>
        <v>75.233575803352977</v>
      </c>
    </row>
    <row r="43" spans="3:12" x14ac:dyDescent="0.2">
      <c r="C43" s="153" t="s">
        <v>25</v>
      </c>
      <c r="D43" s="153" t="s">
        <v>173</v>
      </c>
      <c r="E43" s="261">
        <f>E42*$J$18/100</f>
        <v>61105.557589938187</v>
      </c>
      <c r="F43" s="261">
        <f>F42*$J$25/100</f>
        <v>35958.983908130991</v>
      </c>
      <c r="G43" s="262">
        <f t="shared" si="0"/>
        <v>58.847321465326253</v>
      </c>
    </row>
    <row r="44" spans="3:12" x14ac:dyDescent="0.2">
      <c r="C44" s="153" t="s">
        <v>25</v>
      </c>
      <c r="D44" s="153" t="s">
        <v>172</v>
      </c>
      <c r="E44" s="261">
        <f>E42*$J$17/100</f>
        <v>365201.44241006183</v>
      </c>
      <c r="F44" s="261">
        <f>F42*$J$24/100</f>
        <v>284767.01609186904</v>
      </c>
      <c r="G44" s="262">
        <f t="shared" si="0"/>
        <v>77.975326223416715</v>
      </c>
    </row>
    <row r="45" spans="3:12" x14ac:dyDescent="0.2">
      <c r="C45" s="257" t="s">
        <v>26</v>
      </c>
      <c r="D45" s="257" t="s">
        <v>143</v>
      </c>
      <c r="E45" s="259">
        <v>592563</v>
      </c>
      <c r="F45" s="259">
        <v>436083</v>
      </c>
      <c r="G45" s="260">
        <f t="shared" si="0"/>
        <v>73.592681284521646</v>
      </c>
    </row>
    <row r="46" spans="3:12" x14ac:dyDescent="0.2">
      <c r="C46" s="257" t="s">
        <v>26</v>
      </c>
      <c r="D46" s="257" t="s">
        <v>173</v>
      </c>
      <c r="E46" s="259">
        <v>56063</v>
      </c>
      <c r="F46" s="259">
        <v>25923</v>
      </c>
      <c r="G46" s="260">
        <f t="shared" si="0"/>
        <v>46.2390524945151</v>
      </c>
    </row>
    <row r="47" spans="3:12" x14ac:dyDescent="0.2">
      <c r="C47" s="257" t="s">
        <v>26</v>
      </c>
      <c r="D47" s="257" t="s">
        <v>172</v>
      </c>
      <c r="E47" s="259">
        <v>536500</v>
      </c>
      <c r="F47" s="259">
        <v>410160</v>
      </c>
      <c r="G47" s="260">
        <f t="shared" si="0"/>
        <v>76.451071761416586</v>
      </c>
    </row>
    <row r="48" spans="3:12" x14ac:dyDescent="0.2">
      <c r="C48" s="257" t="s">
        <v>28</v>
      </c>
      <c r="D48" s="257" t="s">
        <v>143</v>
      </c>
      <c r="E48" s="259">
        <v>554533</v>
      </c>
      <c r="F48" s="259">
        <v>393448</v>
      </c>
      <c r="G48" s="260">
        <f t="shared" si="0"/>
        <v>70.951232839163765</v>
      </c>
    </row>
    <row r="49" spans="3:7" x14ac:dyDescent="0.2">
      <c r="C49" s="257" t="s">
        <v>28</v>
      </c>
      <c r="D49" s="257" t="s">
        <v>173</v>
      </c>
      <c r="E49" s="259">
        <v>68600</v>
      </c>
      <c r="F49" s="259">
        <v>40800</v>
      </c>
      <c r="G49" s="260">
        <f t="shared" si="0"/>
        <v>59.475218658892125</v>
      </c>
    </row>
    <row r="50" spans="3:7" x14ac:dyDescent="0.2">
      <c r="C50" s="257" t="s">
        <v>28</v>
      </c>
      <c r="D50" s="257" t="s">
        <v>172</v>
      </c>
      <c r="E50" s="259">
        <v>485933</v>
      </c>
      <c r="F50" s="259">
        <v>352648</v>
      </c>
      <c r="G50" s="260">
        <f t="shared" si="0"/>
        <v>72.571321560791304</v>
      </c>
    </row>
    <row r="51" spans="3:7" x14ac:dyDescent="0.2">
      <c r="C51" s="257" t="s">
        <v>29</v>
      </c>
      <c r="D51" s="257" t="s">
        <v>143</v>
      </c>
      <c r="E51" s="259">
        <v>5288</v>
      </c>
      <c r="F51" s="259">
        <v>4697</v>
      </c>
      <c r="G51" s="260">
        <f t="shared" si="0"/>
        <v>88.823751891074139</v>
      </c>
    </row>
    <row r="52" spans="3:7" x14ac:dyDescent="0.2">
      <c r="C52" s="257" t="s">
        <v>29</v>
      </c>
      <c r="D52" s="257" t="s">
        <v>173</v>
      </c>
      <c r="E52" s="259">
        <v>2816</v>
      </c>
      <c r="F52" s="259">
        <v>246</v>
      </c>
      <c r="G52" s="260">
        <f t="shared" si="0"/>
        <v>8.735795454545455</v>
      </c>
    </row>
    <row r="53" spans="3:7" x14ac:dyDescent="0.2">
      <c r="C53" s="257" t="s">
        <v>29</v>
      </c>
      <c r="D53" s="257" t="s">
        <v>172</v>
      </c>
      <c r="E53" s="259">
        <v>2472</v>
      </c>
      <c r="F53" s="259">
        <v>4451</v>
      </c>
      <c r="G53" s="260">
        <f t="shared" si="0"/>
        <v>180.05663430420714</v>
      </c>
    </row>
    <row r="54" spans="3:7" x14ac:dyDescent="0.2">
      <c r="C54" s="153" t="s">
        <v>30</v>
      </c>
      <c r="D54" s="153" t="s">
        <v>143</v>
      </c>
      <c r="E54" s="258">
        <v>10664</v>
      </c>
      <c r="F54" s="258">
        <v>7922</v>
      </c>
      <c r="G54" s="255">
        <f t="shared" si="0"/>
        <v>74.287321830457614</v>
      </c>
    </row>
    <row r="55" spans="3:7" x14ac:dyDescent="0.2">
      <c r="C55" s="153" t="s">
        <v>30</v>
      </c>
      <c r="D55" s="153" t="s">
        <v>173</v>
      </c>
      <c r="E55" s="261">
        <f>E54*$J$18/100</f>
        <v>1528.5455461418667</v>
      </c>
      <c r="F55" s="261">
        <f>F54*$J$25/100</f>
        <v>888.19450409450337</v>
      </c>
      <c r="G55" s="262">
        <f t="shared" si="0"/>
        <v>58.107166406415253</v>
      </c>
    </row>
    <row r="56" spans="3:7" x14ac:dyDescent="0.2">
      <c r="C56" s="153" t="s">
        <v>30</v>
      </c>
      <c r="D56" s="153" t="s">
        <v>172</v>
      </c>
      <c r="E56" s="261">
        <f>E54*$J$17/100</f>
        <v>9135.4544538581322</v>
      </c>
      <c r="F56" s="261">
        <f>F54*$J$24/100</f>
        <v>7033.805495905498</v>
      </c>
      <c r="G56" s="262">
        <f t="shared" si="0"/>
        <v>76.994587750748906</v>
      </c>
    </row>
    <row r="57" spans="3:7" x14ac:dyDescent="0.2">
      <c r="C57" s="153" t="s">
        <v>31</v>
      </c>
      <c r="D57" s="153" t="s">
        <v>143</v>
      </c>
      <c r="E57" s="258">
        <v>13093</v>
      </c>
      <c r="F57" s="258">
        <v>8958</v>
      </c>
      <c r="G57" s="255">
        <f t="shared" si="0"/>
        <v>68.418238753532421</v>
      </c>
    </row>
    <row r="58" spans="3:7" x14ac:dyDescent="0.2">
      <c r="C58" s="153" t="s">
        <v>31</v>
      </c>
      <c r="D58" s="153" t="s">
        <v>173</v>
      </c>
      <c r="E58" s="261">
        <f>E57*$J$18/100</f>
        <v>1876.7110686079766</v>
      </c>
      <c r="F58" s="261">
        <f>F57*$J$25/100</f>
        <v>1004.3481908203181</v>
      </c>
      <c r="G58" s="262">
        <f t="shared" si="0"/>
        <v>53.516399387215152</v>
      </c>
    </row>
    <row r="59" spans="3:7" x14ac:dyDescent="0.2">
      <c r="C59" s="153" t="s">
        <v>31</v>
      </c>
      <c r="D59" s="153" t="s">
        <v>172</v>
      </c>
      <c r="E59" s="261">
        <f>E57*$J$17/100</f>
        <v>11216.288931392024</v>
      </c>
      <c r="F59" s="261">
        <f>F57*$J$24/100</f>
        <v>7953.6518091796825</v>
      </c>
      <c r="G59" s="262">
        <f t="shared" si="0"/>
        <v>70.911616648168646</v>
      </c>
    </row>
    <row r="60" spans="3:7" x14ac:dyDescent="0.2">
      <c r="C60" s="153" t="s">
        <v>32</v>
      </c>
      <c r="D60" s="153" t="s">
        <v>143</v>
      </c>
      <c r="E60" s="258">
        <v>4644</v>
      </c>
      <c r="F60" s="258">
        <v>3826</v>
      </c>
      <c r="G60" s="255">
        <f t="shared" si="0"/>
        <v>82.38587424633937</v>
      </c>
    </row>
    <row r="61" spans="3:7" x14ac:dyDescent="0.2">
      <c r="C61" s="153" t="s">
        <v>32</v>
      </c>
      <c r="D61" s="153" t="s">
        <v>173</v>
      </c>
      <c r="E61" s="261">
        <f>E60*$J$18/100</f>
        <v>665.65693138436143</v>
      </c>
      <c r="F61" s="261">
        <f>F60*$J$25/100</f>
        <v>428.96139518626222</v>
      </c>
      <c r="G61" s="262">
        <f t="shared" si="0"/>
        <v>64.441813036357118</v>
      </c>
    </row>
    <row r="62" spans="3:7" x14ac:dyDescent="0.2">
      <c r="C62" s="153" t="s">
        <v>32</v>
      </c>
      <c r="D62" s="153" t="s">
        <v>172</v>
      </c>
      <c r="E62" s="261">
        <f>E60*$J$17/100</f>
        <v>3978.343068615638</v>
      </c>
      <c r="F62" s="261">
        <f>F60*$J$24/100</f>
        <v>3397.0386048137379</v>
      </c>
      <c r="G62" s="262">
        <f t="shared" si="0"/>
        <v>85.388277135079278</v>
      </c>
    </row>
    <row r="63" spans="3:7" x14ac:dyDescent="0.2">
      <c r="C63" s="153" t="s">
        <v>33</v>
      </c>
      <c r="D63" s="153" t="s">
        <v>143</v>
      </c>
      <c r="E63" s="258">
        <v>60165</v>
      </c>
      <c r="F63" s="258">
        <v>50254</v>
      </c>
      <c r="G63" s="255">
        <f t="shared" si="0"/>
        <v>83.526967506025102</v>
      </c>
    </row>
    <row r="64" spans="3:7" x14ac:dyDescent="0.2">
      <c r="C64" s="153" t="s">
        <v>33</v>
      </c>
      <c r="D64" s="153" t="s">
        <v>173</v>
      </c>
      <c r="E64" s="261">
        <f>E63*$J$18/100</f>
        <v>8623.8693533032092</v>
      </c>
      <c r="F64" s="261">
        <f>F63*$J$25/100</f>
        <v>5634.3507458678578</v>
      </c>
      <c r="G64" s="262">
        <f t="shared" si="0"/>
        <v>65.334370397317372</v>
      </c>
    </row>
    <row r="65" spans="3:7" x14ac:dyDescent="0.2">
      <c r="C65" s="153" t="s">
        <v>33</v>
      </c>
      <c r="D65" s="153" t="s">
        <v>172</v>
      </c>
      <c r="E65" s="261">
        <f>E63*$J$17/100</f>
        <v>51541.130646696787</v>
      </c>
      <c r="F65" s="261">
        <f>F63*$J$24/100</f>
        <v>44619.64925413215</v>
      </c>
      <c r="G65" s="262">
        <f t="shared" si="0"/>
        <v>86.570955456895419</v>
      </c>
    </row>
    <row r="66" spans="3:7" x14ac:dyDescent="0.2">
      <c r="C66" s="153" t="s">
        <v>34</v>
      </c>
      <c r="D66" s="153" t="s">
        <v>143</v>
      </c>
      <c r="E66" s="258">
        <v>4000</v>
      </c>
      <c r="F66" s="258">
        <v>1208</v>
      </c>
      <c r="G66" s="255">
        <f t="shared" si="0"/>
        <v>30.2</v>
      </c>
    </row>
    <row r="67" spans="3:7" x14ac:dyDescent="0.2">
      <c r="C67" s="153" t="s">
        <v>34</v>
      </c>
      <c r="D67" s="153" t="s">
        <v>173</v>
      </c>
      <c r="E67" s="261">
        <f>E66*$J$18/100</f>
        <v>573.3479167823956</v>
      </c>
      <c r="F67" s="261">
        <f>F66*$J$25/100</f>
        <v>135.43788954129764</v>
      </c>
      <c r="G67" s="262">
        <f t="shared" si="0"/>
        <v>23.622286848336238</v>
      </c>
    </row>
    <row r="68" spans="3:7" x14ac:dyDescent="0.2">
      <c r="C68" s="153" t="s">
        <v>34</v>
      </c>
      <c r="D68" s="153" t="s">
        <v>172</v>
      </c>
      <c r="E68" s="261">
        <f>E66*$J$17/100</f>
        <v>3426.6520832176043</v>
      </c>
      <c r="F68" s="261">
        <f>F66*$J$24/100</f>
        <v>1072.5621104587026</v>
      </c>
      <c r="G68" s="262">
        <f t="shared" si="0"/>
        <v>31.300583905547064</v>
      </c>
    </row>
    <row r="69" spans="3:7" x14ac:dyDescent="0.2">
      <c r="C69" s="153" t="s">
        <v>35</v>
      </c>
      <c r="D69" s="153" t="s">
        <v>143</v>
      </c>
      <c r="E69" s="258">
        <v>193000</v>
      </c>
      <c r="F69" s="258">
        <v>176000</v>
      </c>
      <c r="G69" s="255">
        <f t="shared" si="0"/>
        <v>91.191709844559583</v>
      </c>
    </row>
    <row r="70" spans="3:7" x14ac:dyDescent="0.2">
      <c r="C70" s="153" t="s">
        <v>35</v>
      </c>
      <c r="D70" s="153" t="s">
        <v>173</v>
      </c>
      <c r="E70" s="261">
        <f>E69*$J$18/100</f>
        <v>27664.036984750586</v>
      </c>
      <c r="F70" s="261">
        <f>F69*$J$25/100</f>
        <v>19732.672648400985</v>
      </c>
      <c r="G70" s="262">
        <f t="shared" si="0"/>
        <v>71.329692984716388</v>
      </c>
    </row>
    <row r="71" spans="3:7" x14ac:dyDescent="0.2">
      <c r="C71" s="153" t="s">
        <v>35</v>
      </c>
      <c r="D71" s="153" t="s">
        <v>172</v>
      </c>
      <c r="E71" s="261">
        <f>E69*$J$17/100</f>
        <v>165335.96301524941</v>
      </c>
      <c r="F71" s="261">
        <f>F69*$J$24/100</f>
        <v>156267.32735159903</v>
      </c>
      <c r="G71" s="262">
        <f t="shared" si="0"/>
        <v>94.51502534701784</v>
      </c>
    </row>
    <row r="72" spans="3:7" x14ac:dyDescent="0.2">
      <c r="C72" s="153" t="s">
        <v>36</v>
      </c>
      <c r="D72" s="153" t="s">
        <v>143</v>
      </c>
      <c r="E72" s="258">
        <v>62515</v>
      </c>
      <c r="F72" s="258">
        <v>38846</v>
      </c>
      <c r="G72" s="255">
        <f t="shared" si="0"/>
        <v>62.138686715188349</v>
      </c>
    </row>
    <row r="73" spans="3:7" x14ac:dyDescent="0.2">
      <c r="C73" s="153" t="s">
        <v>36</v>
      </c>
      <c r="D73" s="153" t="s">
        <v>173</v>
      </c>
      <c r="E73" s="261">
        <f>E72*$J$18/100</f>
        <v>8960.7112544128668</v>
      </c>
      <c r="F73" s="261">
        <f>F72*$J$25/100</f>
        <v>4355.3147823851396</v>
      </c>
      <c r="G73" s="262">
        <f t="shared" si="0"/>
        <v>48.604565627982765</v>
      </c>
    </row>
    <row r="74" spans="3:7" x14ac:dyDescent="0.2">
      <c r="C74" s="153" t="s">
        <v>36</v>
      </c>
      <c r="D74" s="153" t="s">
        <v>172</v>
      </c>
      <c r="E74" s="261">
        <f>E72*$J$17/100</f>
        <v>53554.288745587131</v>
      </c>
      <c r="F74" s="261">
        <f>F72*$J$24/100</f>
        <v>34490.68521761486</v>
      </c>
      <c r="G74" s="262">
        <f t="shared" si="0"/>
        <v>64.403217791697202</v>
      </c>
    </row>
    <row r="75" spans="3:7" x14ac:dyDescent="0.2">
      <c r="C75" s="153" t="s">
        <v>37</v>
      </c>
      <c r="D75" s="153" t="s">
        <v>143</v>
      </c>
      <c r="E75" s="258">
        <v>247118</v>
      </c>
      <c r="F75" s="258">
        <v>111347</v>
      </c>
      <c r="G75" s="255">
        <f t="shared" si="0"/>
        <v>45.058231290314751</v>
      </c>
    </row>
    <row r="76" spans="3:7" x14ac:dyDescent="0.2">
      <c r="C76" s="153" t="s">
        <v>37</v>
      </c>
      <c r="D76" s="153" t="s">
        <v>173</v>
      </c>
      <c r="E76" s="261">
        <f>E75*$J$18/100</f>
        <v>35421.147624858007</v>
      </c>
      <c r="F76" s="261">
        <f>F75*$J$25/100</f>
        <v>12483.942621485819</v>
      </c>
      <c r="G76" s="262">
        <f t="shared" si="0"/>
        <v>35.24432001385744</v>
      </c>
    </row>
    <row r="77" spans="3:7" x14ac:dyDescent="0.2">
      <c r="C77" s="153" t="s">
        <v>37</v>
      </c>
      <c r="D77" s="153" t="s">
        <v>172</v>
      </c>
      <c r="E77" s="261">
        <f>E75*$J$17/100</f>
        <v>211696.85237514199</v>
      </c>
      <c r="F77" s="261">
        <f>F75*$J$24/100</f>
        <v>98863.05737851419</v>
      </c>
      <c r="G77" s="262">
        <f t="shared" si="0"/>
        <v>46.700296329074256</v>
      </c>
    </row>
    <row r="78" spans="3:7" x14ac:dyDescent="0.2">
      <c r="C78" s="153" t="s">
        <v>38</v>
      </c>
      <c r="D78" s="153" t="s">
        <v>143</v>
      </c>
      <c r="E78" s="258">
        <v>93000</v>
      </c>
      <c r="F78" s="258">
        <v>66000</v>
      </c>
      <c r="G78" s="255">
        <f t="shared" si="0"/>
        <v>70.967741935483872</v>
      </c>
    </row>
    <row r="79" spans="3:7" x14ac:dyDescent="0.2">
      <c r="C79" s="153" t="s">
        <v>38</v>
      </c>
      <c r="D79" s="153" t="s">
        <v>173</v>
      </c>
      <c r="E79" s="261">
        <f>E78*$J$18/100</f>
        <v>13330.339065190698</v>
      </c>
      <c r="F79" s="261">
        <f>F78*$J$25/100</f>
        <v>7399.7522431503676</v>
      </c>
      <c r="G79" s="262">
        <f t="shared" si="0"/>
        <v>55.510607846976846</v>
      </c>
    </row>
    <row r="80" spans="3:7" x14ac:dyDescent="0.2">
      <c r="C80" s="153" t="s">
        <v>38</v>
      </c>
      <c r="D80" s="153" t="s">
        <v>172</v>
      </c>
      <c r="E80" s="261">
        <f>E78*$J$17/100</f>
        <v>79669.660934809304</v>
      </c>
      <c r="F80" s="261">
        <f>F78*$J$24/100</f>
        <v>58600.24775684964</v>
      </c>
      <c r="G80" s="262">
        <f t="shared" ref="G80:G98" si="2">F80/E80*100</f>
        <v>73.554031822477597</v>
      </c>
    </row>
    <row r="81" spans="3:7" x14ac:dyDescent="0.2">
      <c r="C81" s="153" t="s">
        <v>39</v>
      </c>
      <c r="D81" s="153" t="s">
        <v>143</v>
      </c>
      <c r="E81" s="258">
        <v>55230</v>
      </c>
      <c r="F81" s="258">
        <v>34410</v>
      </c>
      <c r="G81" s="255">
        <f t="shared" si="2"/>
        <v>62.303096143400325</v>
      </c>
    </row>
    <row r="82" spans="3:7" x14ac:dyDescent="0.2">
      <c r="C82" s="153" t="s">
        <v>39</v>
      </c>
      <c r="D82" s="153" t="s">
        <v>173</v>
      </c>
      <c r="E82" s="261">
        <f>E81*$J$18/100</f>
        <v>7916.5013609729276</v>
      </c>
      <c r="F82" s="261">
        <f>F81*$J$25/100</f>
        <v>3857.9617376788515</v>
      </c>
      <c r="G82" s="262">
        <f t="shared" si="2"/>
        <v>48.733165848969335</v>
      </c>
    </row>
    <row r="83" spans="3:7" x14ac:dyDescent="0.2">
      <c r="C83" s="153" t="s">
        <v>39</v>
      </c>
      <c r="D83" s="153" t="s">
        <v>172</v>
      </c>
      <c r="E83" s="261">
        <f>E81*$J$17/100</f>
        <v>47313.498639027064</v>
      </c>
      <c r="F83" s="261">
        <f>F81*$J$24/100</f>
        <v>30552.038262321152</v>
      </c>
      <c r="G83" s="262">
        <f t="shared" si="2"/>
        <v>64.573618821585015</v>
      </c>
    </row>
    <row r="84" spans="3:7" x14ac:dyDescent="0.2">
      <c r="C84" s="153" t="s">
        <v>40</v>
      </c>
      <c r="D84" s="153" t="s">
        <v>143</v>
      </c>
      <c r="E84" s="258">
        <v>15043</v>
      </c>
      <c r="F84" s="258">
        <v>6075</v>
      </c>
      <c r="G84" s="255">
        <f t="shared" si="2"/>
        <v>40.384231868643219</v>
      </c>
    </row>
    <row r="85" spans="3:7" x14ac:dyDescent="0.2">
      <c r="C85" s="153" t="s">
        <v>40</v>
      </c>
      <c r="D85" s="153" t="s">
        <v>173</v>
      </c>
      <c r="E85" s="261">
        <f>E84*$J$18/100</f>
        <v>2156.2181780393944</v>
      </c>
      <c r="F85" s="261">
        <f>F84*$J$25/100</f>
        <v>681.11355874452261</v>
      </c>
      <c r="G85" s="262">
        <f t="shared" si="2"/>
        <v>31.588341369232193</v>
      </c>
    </row>
    <row r="86" spans="3:7" x14ac:dyDescent="0.2">
      <c r="C86" s="153" t="s">
        <v>40</v>
      </c>
      <c r="D86" s="153" t="s">
        <v>172</v>
      </c>
      <c r="E86" s="261">
        <f>E84*$J$17/100</f>
        <v>12886.781821960605</v>
      </c>
      <c r="F86" s="261">
        <f>F84*$J$24/100</f>
        <v>5393.8864412554785</v>
      </c>
      <c r="G86" s="262">
        <f t="shared" si="2"/>
        <v>41.855961525348832</v>
      </c>
    </row>
    <row r="87" spans="3:7" x14ac:dyDescent="0.2">
      <c r="C87" s="153" t="s">
        <v>41</v>
      </c>
      <c r="D87" s="153" t="s">
        <v>143</v>
      </c>
      <c r="E87" s="258">
        <v>26857</v>
      </c>
      <c r="F87" s="258">
        <v>15673</v>
      </c>
      <c r="G87" s="255">
        <f t="shared" si="2"/>
        <v>58.357225304389914</v>
      </c>
    </row>
    <row r="88" spans="3:7" x14ac:dyDescent="0.2">
      <c r="C88" s="153" t="s">
        <v>41</v>
      </c>
      <c r="D88" s="153" t="s">
        <v>173</v>
      </c>
      <c r="E88" s="261">
        <f>E87*$J$18/100</f>
        <v>3849.6012502561998</v>
      </c>
      <c r="F88" s="261">
        <f>F87*$J$25/100</f>
        <v>1757.2169228317534</v>
      </c>
      <c r="G88" s="262">
        <f t="shared" si="2"/>
        <v>45.646725689181615</v>
      </c>
    </row>
    <row r="89" spans="3:7" x14ac:dyDescent="0.2">
      <c r="C89" s="153" t="s">
        <v>41</v>
      </c>
      <c r="D89" s="153" t="s">
        <v>172</v>
      </c>
      <c r="E89" s="261">
        <f>E87*$J$17/100</f>
        <v>23007.398749743799</v>
      </c>
      <c r="F89" s="261">
        <f>F87*$J$24/100</f>
        <v>13915.783077168247</v>
      </c>
      <c r="G89" s="262">
        <f t="shared" si="2"/>
        <v>60.483947918376515</v>
      </c>
    </row>
    <row r="90" spans="3:7" x14ac:dyDescent="0.2">
      <c r="C90" s="153" t="s">
        <v>42</v>
      </c>
      <c r="D90" s="153" t="s">
        <v>143</v>
      </c>
      <c r="E90" s="258">
        <v>53999</v>
      </c>
      <c r="F90" s="258">
        <v>43125</v>
      </c>
      <c r="G90" s="255">
        <f t="shared" si="2"/>
        <v>79.862590047963849</v>
      </c>
    </row>
    <row r="91" spans="3:7" x14ac:dyDescent="0.2">
      <c r="C91" s="153" t="s">
        <v>42</v>
      </c>
      <c r="D91" s="153" t="s">
        <v>173</v>
      </c>
      <c r="E91" s="261">
        <f>E90*$J$18/100</f>
        <v>7740.0535395831448</v>
      </c>
      <c r="F91" s="261">
        <f>F90*$J$25/100</f>
        <v>4835.0653861493884</v>
      </c>
      <c r="G91" s="262">
        <f t="shared" si="2"/>
        <v>62.468112932585605</v>
      </c>
    </row>
    <row r="92" spans="3:7" x14ac:dyDescent="0.2">
      <c r="C92" s="153" t="s">
        <v>42</v>
      </c>
      <c r="D92" s="153" t="s">
        <v>172</v>
      </c>
      <c r="E92" s="261">
        <f>E90*$J$17/100</f>
        <v>46258.946460416846</v>
      </c>
      <c r="F92" s="261">
        <f>F90*$J$24/100</f>
        <v>38289.934613850615</v>
      </c>
      <c r="G92" s="262">
        <f t="shared" si="2"/>
        <v>82.77303644737087</v>
      </c>
    </row>
    <row r="93" spans="3:7" x14ac:dyDescent="0.2">
      <c r="C93" s="257" t="s">
        <v>43</v>
      </c>
      <c r="D93" s="257" t="s">
        <v>143</v>
      </c>
      <c r="E93" s="259">
        <v>61194</v>
      </c>
      <c r="F93" s="259">
        <v>46161</v>
      </c>
      <c r="G93" s="260">
        <f t="shared" si="2"/>
        <v>75.433866065300521</v>
      </c>
    </row>
    <row r="94" spans="3:7" x14ac:dyDescent="0.2">
      <c r="C94" s="257" t="s">
        <v>43</v>
      </c>
      <c r="D94" s="257" t="s">
        <v>173</v>
      </c>
      <c r="E94" s="259">
        <v>26293</v>
      </c>
      <c r="F94" s="259">
        <v>17343</v>
      </c>
      <c r="G94" s="260">
        <f t="shared" si="2"/>
        <v>65.960521811889095</v>
      </c>
    </row>
    <row r="95" spans="3:7" x14ac:dyDescent="0.2">
      <c r="C95" s="257" t="s">
        <v>43</v>
      </c>
      <c r="D95" s="257" t="s">
        <v>172</v>
      </c>
      <c r="E95" s="259">
        <v>34901</v>
      </c>
      <c r="F95" s="259">
        <v>28818</v>
      </c>
      <c r="G95" s="260">
        <f t="shared" si="2"/>
        <v>82.570699979943257</v>
      </c>
    </row>
    <row r="96" spans="3:7" x14ac:dyDescent="0.2">
      <c r="C96" s="257" t="s">
        <v>44</v>
      </c>
      <c r="D96" s="257" t="s">
        <v>143</v>
      </c>
      <c r="E96" s="259">
        <v>809617</v>
      </c>
      <c r="F96" s="259">
        <v>447397</v>
      </c>
      <c r="G96" s="260">
        <f t="shared" si="2"/>
        <v>55.260326796497608</v>
      </c>
    </row>
    <row r="97" spans="3:7" x14ac:dyDescent="0.2">
      <c r="C97" s="257" t="s">
        <v>44</v>
      </c>
      <c r="D97" s="257" t="s">
        <v>173</v>
      </c>
      <c r="E97" s="259">
        <v>160877</v>
      </c>
      <c r="F97" s="259">
        <v>73683</v>
      </c>
      <c r="G97" s="260">
        <f t="shared" si="2"/>
        <v>45.800829204920532</v>
      </c>
    </row>
    <row r="98" spans="3:7" x14ac:dyDescent="0.2">
      <c r="C98" s="257" t="s">
        <v>44</v>
      </c>
      <c r="D98" s="257" t="s">
        <v>172</v>
      </c>
      <c r="E98" s="259">
        <v>648740</v>
      </c>
      <c r="F98" s="259">
        <v>373714</v>
      </c>
      <c r="G98" s="260">
        <f t="shared" si="2"/>
        <v>57.606128803526836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6"/>
  <sheetViews>
    <sheetView zoomScaleNormal="100" workbookViewId="0"/>
  </sheetViews>
  <sheetFormatPr defaultRowHeight="14.25" x14ac:dyDescent="0.2"/>
  <cols>
    <col min="1" max="1" width="19.5" style="5" customWidth="1"/>
    <col min="2" max="2" width="16" style="5" bestFit="1" customWidth="1"/>
    <col min="3" max="3" width="18.75" style="5" bestFit="1" customWidth="1"/>
    <col min="4" max="4" width="9" style="5"/>
    <col min="5" max="5" width="9" style="14"/>
    <col min="6" max="7" width="9" style="5"/>
    <col min="8" max="8" width="6.125" style="5" customWidth="1"/>
    <col min="9" max="16384" width="9" style="5"/>
  </cols>
  <sheetData>
    <row r="3" spans="1:10" ht="15" x14ac:dyDescent="0.25">
      <c r="A3" s="57" t="s">
        <v>311</v>
      </c>
    </row>
    <row r="5" spans="1:10" x14ac:dyDescent="0.2">
      <c r="A5" s="113" t="s">
        <v>0</v>
      </c>
    </row>
    <row r="7" spans="1:10" x14ac:dyDescent="0.2">
      <c r="A7" s="113" t="s">
        <v>1</v>
      </c>
      <c r="B7" s="351">
        <v>41688.473217592589</v>
      </c>
    </row>
    <row r="8" spans="1:10" x14ac:dyDescent="0.2">
      <c r="A8" s="113" t="s">
        <v>2</v>
      </c>
      <c r="B8" s="351">
        <v>41711.454058773146</v>
      </c>
    </row>
    <row r="9" spans="1:10" x14ac:dyDescent="0.2">
      <c r="A9" s="113" t="s">
        <v>3</v>
      </c>
      <c r="B9" s="113" t="s">
        <v>4</v>
      </c>
    </row>
    <row r="11" spans="1:10" x14ac:dyDescent="0.2">
      <c r="A11" s="113" t="s">
        <v>7</v>
      </c>
      <c r="B11" s="113" t="s">
        <v>46</v>
      </c>
    </row>
    <row r="12" spans="1:10" ht="15" x14ac:dyDescent="0.25">
      <c r="I12" s="57" t="s">
        <v>310</v>
      </c>
    </row>
    <row r="13" spans="1:10" x14ac:dyDescent="0.2">
      <c r="A13" s="349" t="s">
        <v>5</v>
      </c>
      <c r="B13" s="349" t="s">
        <v>6</v>
      </c>
      <c r="C13" s="349" t="s">
        <v>309</v>
      </c>
    </row>
    <row r="14" spans="1:10" x14ac:dyDescent="0.2">
      <c r="A14" s="349" t="s">
        <v>8</v>
      </c>
      <c r="B14" s="349" t="s">
        <v>67</v>
      </c>
      <c r="C14" s="349" t="s">
        <v>67</v>
      </c>
      <c r="I14" s="356" t="s">
        <v>308</v>
      </c>
      <c r="J14" s="14">
        <f>(E43*B43+E21*B21+E17*B17)/(B17+B21+B43)</f>
        <v>0.50663573402476891</v>
      </c>
    </row>
    <row r="15" spans="1:10" x14ac:dyDescent="0.2">
      <c r="A15" s="349" t="s">
        <v>16</v>
      </c>
      <c r="B15" s="348">
        <v>248302</v>
      </c>
      <c r="C15" s="348">
        <v>82664</v>
      </c>
      <c r="E15" s="14">
        <f>C15/B15*100</f>
        <v>33.291717344201821</v>
      </c>
      <c r="F15" s="112" t="s">
        <v>60</v>
      </c>
    </row>
    <row r="16" spans="1:10" x14ac:dyDescent="0.2">
      <c r="A16" s="349" t="s">
        <v>17</v>
      </c>
      <c r="B16" s="348">
        <v>246632</v>
      </c>
      <c r="C16" s="348">
        <v>81284</v>
      </c>
      <c r="E16" s="14">
        <f>C16/B16*100</f>
        <v>32.957604852573873</v>
      </c>
      <c r="F16" s="112" t="s">
        <v>60</v>
      </c>
    </row>
    <row r="17" spans="1:6" x14ac:dyDescent="0.2">
      <c r="A17" s="349" t="s">
        <v>18</v>
      </c>
      <c r="B17" s="348">
        <v>5069</v>
      </c>
      <c r="C17" s="348">
        <v>59</v>
      </c>
      <c r="E17" s="346">
        <f>C17/B17*100</f>
        <v>1.1639376602880254</v>
      </c>
      <c r="F17" s="350" t="s">
        <v>60</v>
      </c>
    </row>
    <row r="18" spans="1:6" x14ac:dyDescent="0.2">
      <c r="A18" s="349" t="s">
        <v>19</v>
      </c>
      <c r="B18" s="348">
        <v>3364</v>
      </c>
      <c r="C18" s="348">
        <v>2323</v>
      </c>
      <c r="E18" s="14">
        <f>C18/B18*100</f>
        <v>69.054696789536266</v>
      </c>
      <c r="F18" s="112" t="s">
        <v>60</v>
      </c>
    </row>
    <row r="19" spans="1:6" x14ac:dyDescent="0.2">
      <c r="A19" s="349" t="s">
        <v>20</v>
      </c>
      <c r="B19" s="348">
        <v>3233</v>
      </c>
      <c r="C19" s="348">
        <v>1828</v>
      </c>
      <c r="E19" s="14">
        <f>C19/B19*100</f>
        <v>56.541911537271886</v>
      </c>
      <c r="F19" s="112" t="s">
        <v>60</v>
      </c>
    </row>
    <row r="20" spans="1:6" x14ac:dyDescent="0.2">
      <c r="A20" s="349" t="s">
        <v>21</v>
      </c>
      <c r="B20" s="348">
        <v>3735</v>
      </c>
      <c r="C20" s="348">
        <v>94</v>
      </c>
      <c r="E20" s="14">
        <f>C20/B20*100</f>
        <v>2.5167336010709507</v>
      </c>
      <c r="F20" s="112" t="s">
        <v>60</v>
      </c>
    </row>
    <row r="21" spans="1:6" x14ac:dyDescent="0.2">
      <c r="A21" s="349" t="s">
        <v>47</v>
      </c>
      <c r="B21" s="348">
        <v>49154</v>
      </c>
      <c r="C21" s="348">
        <v>205</v>
      </c>
      <c r="E21" s="346">
        <f>C21/B21*100</f>
        <v>0.41705659763193231</v>
      </c>
      <c r="F21" s="350" t="s">
        <v>60</v>
      </c>
    </row>
    <row r="22" spans="1:6" x14ac:dyDescent="0.2">
      <c r="A22" s="349" t="s">
        <v>22</v>
      </c>
      <c r="B22" s="348">
        <v>371</v>
      </c>
      <c r="C22" s="348">
        <v>129</v>
      </c>
      <c r="E22" s="14">
        <f>C22/B22*100</f>
        <v>34.770889487870619</v>
      </c>
      <c r="F22" s="112" t="s">
        <v>60</v>
      </c>
    </row>
    <row r="23" spans="1:6" x14ac:dyDescent="0.2">
      <c r="A23" s="349" t="s">
        <v>23</v>
      </c>
      <c r="B23" s="348">
        <v>2615</v>
      </c>
      <c r="C23" s="348">
        <v>1027</v>
      </c>
      <c r="E23" s="14">
        <f>C23/B23*100</f>
        <v>39.273422562141491</v>
      </c>
      <c r="F23" s="112" t="s">
        <v>60</v>
      </c>
    </row>
    <row r="24" spans="1:6" x14ac:dyDescent="0.2">
      <c r="A24" s="349" t="s">
        <v>24</v>
      </c>
      <c r="B24" s="348">
        <v>5585</v>
      </c>
      <c r="C24" s="348">
        <v>4507</v>
      </c>
      <c r="E24" s="14">
        <f>C24/B24*100</f>
        <v>80.698299015219334</v>
      </c>
      <c r="F24" s="112" t="s">
        <v>60</v>
      </c>
    </row>
    <row r="25" spans="1:6" x14ac:dyDescent="0.2">
      <c r="A25" s="349" t="s">
        <v>25</v>
      </c>
      <c r="B25" s="348">
        <v>21678</v>
      </c>
      <c r="C25" s="348">
        <v>13725</v>
      </c>
      <c r="E25" s="14">
        <f>C25/B25*100</f>
        <v>63.313036257957378</v>
      </c>
      <c r="F25" s="112" t="s">
        <v>60</v>
      </c>
    </row>
    <row r="26" spans="1:6" x14ac:dyDescent="0.2">
      <c r="A26" s="349" t="s">
        <v>26</v>
      </c>
      <c r="B26" s="348">
        <v>34938</v>
      </c>
      <c r="C26" s="348">
        <v>9937</v>
      </c>
      <c r="E26" s="14">
        <f>C26/B26*100</f>
        <v>28.441811208426355</v>
      </c>
      <c r="F26" s="112" t="s">
        <v>60</v>
      </c>
    </row>
    <row r="27" spans="1:6" x14ac:dyDescent="0.2">
      <c r="A27" s="349" t="s">
        <v>27</v>
      </c>
      <c r="B27" s="348">
        <v>1670</v>
      </c>
      <c r="C27" s="348">
        <v>1380</v>
      </c>
      <c r="E27" s="14">
        <f>C27/B27*100</f>
        <v>82.634730538922156</v>
      </c>
      <c r="F27" s="112" t="s">
        <v>60</v>
      </c>
    </row>
    <row r="28" spans="1:6" x14ac:dyDescent="0.2">
      <c r="A28" s="349" t="s">
        <v>28</v>
      </c>
      <c r="B28" s="348">
        <v>31506</v>
      </c>
      <c r="C28" s="348">
        <v>12808</v>
      </c>
      <c r="E28" s="14">
        <f>C28/B28*100</f>
        <v>40.652574112867391</v>
      </c>
      <c r="F28" s="112" t="s">
        <v>60</v>
      </c>
    </row>
    <row r="29" spans="1:6" x14ac:dyDescent="0.2">
      <c r="A29" s="349" t="s">
        <v>29</v>
      </c>
      <c r="B29" s="348">
        <v>572</v>
      </c>
      <c r="C29" s="348">
        <v>451</v>
      </c>
      <c r="E29" s="14">
        <f>C29/B29*100</f>
        <v>78.84615384615384</v>
      </c>
      <c r="F29" s="112" t="s">
        <v>60</v>
      </c>
    </row>
    <row r="30" spans="1:6" x14ac:dyDescent="0.2">
      <c r="A30" s="349" t="s">
        <v>30</v>
      </c>
      <c r="B30" s="348">
        <v>613</v>
      </c>
      <c r="C30" s="348">
        <v>516</v>
      </c>
      <c r="E30" s="14">
        <f>C30/B30*100</f>
        <v>84.176182707993476</v>
      </c>
      <c r="F30" s="112" t="s">
        <v>60</v>
      </c>
    </row>
    <row r="31" spans="1:6" x14ac:dyDescent="0.2">
      <c r="A31" s="349" t="s">
        <v>31</v>
      </c>
      <c r="B31" s="348">
        <v>1400</v>
      </c>
      <c r="C31" s="348">
        <v>1080</v>
      </c>
      <c r="E31" s="14">
        <f>C31/B31*100</f>
        <v>77.142857142857153</v>
      </c>
      <c r="F31" s="112" t="s">
        <v>60</v>
      </c>
    </row>
    <row r="32" spans="1:6" x14ac:dyDescent="0.2">
      <c r="A32" s="349" t="s">
        <v>32</v>
      </c>
      <c r="B32" s="348">
        <v>351</v>
      </c>
      <c r="C32" s="348">
        <v>62</v>
      </c>
      <c r="E32" s="14">
        <f>C32/B32*100</f>
        <v>17.663817663817664</v>
      </c>
      <c r="F32" s="112" t="s">
        <v>60</v>
      </c>
    </row>
    <row r="33" spans="1:6" x14ac:dyDescent="0.2">
      <c r="A33" s="349" t="s">
        <v>33</v>
      </c>
      <c r="B33" s="348">
        <v>3988</v>
      </c>
      <c r="C33" s="348">
        <v>2608</v>
      </c>
      <c r="E33" s="14">
        <f>C33/B33*100</f>
        <v>65.396188565697088</v>
      </c>
      <c r="F33" s="112" t="s">
        <v>60</v>
      </c>
    </row>
    <row r="34" spans="1:6" x14ac:dyDescent="0.2">
      <c r="A34" s="349" t="s">
        <v>34</v>
      </c>
      <c r="B34" s="348">
        <v>247</v>
      </c>
      <c r="C34" s="348">
        <v>203</v>
      </c>
      <c r="E34" s="14">
        <f>C34/B34*100</f>
        <v>82.186234817813769</v>
      </c>
      <c r="F34" s="112" t="s">
        <v>60</v>
      </c>
    </row>
    <row r="35" spans="1:6" x14ac:dyDescent="0.2">
      <c r="A35" s="349" t="s">
        <v>35</v>
      </c>
      <c r="B35" s="348">
        <v>9225</v>
      </c>
      <c r="C35" s="348">
        <v>140</v>
      </c>
      <c r="E35" s="14">
        <f>C35/B35*100</f>
        <v>1.5176151761517616</v>
      </c>
      <c r="F35" s="112" t="s">
        <v>60</v>
      </c>
    </row>
    <row r="36" spans="1:6" x14ac:dyDescent="0.2">
      <c r="A36" s="349" t="s">
        <v>36</v>
      </c>
      <c r="B36" s="348">
        <v>4650</v>
      </c>
      <c r="C36" s="348">
        <v>150</v>
      </c>
      <c r="E36" s="14">
        <f>C36/B36*100</f>
        <v>3.225806451612903</v>
      </c>
      <c r="F36" s="112" t="s">
        <v>60</v>
      </c>
    </row>
    <row r="37" spans="1:6" x14ac:dyDescent="0.2">
      <c r="A37" s="349" t="s">
        <v>37</v>
      </c>
      <c r="B37" s="348">
        <v>12084</v>
      </c>
      <c r="C37" s="348">
        <v>7158</v>
      </c>
      <c r="E37" s="14">
        <f>C37/B37*100</f>
        <v>59.235352532274078</v>
      </c>
      <c r="F37" s="112" t="s">
        <v>60</v>
      </c>
    </row>
    <row r="38" spans="1:6" x14ac:dyDescent="0.2">
      <c r="A38" s="349" t="s">
        <v>38</v>
      </c>
      <c r="B38" s="348">
        <v>4766</v>
      </c>
      <c r="C38" s="348">
        <v>2593</v>
      </c>
      <c r="E38" s="14">
        <f>C38/B38*100</f>
        <v>54.406210658833402</v>
      </c>
      <c r="F38" s="112" t="s">
        <v>60</v>
      </c>
    </row>
    <row r="39" spans="1:6" x14ac:dyDescent="0.2">
      <c r="A39" s="349" t="s">
        <v>39</v>
      </c>
      <c r="B39" s="348">
        <v>7800</v>
      </c>
      <c r="C39" s="348">
        <v>6190</v>
      </c>
      <c r="E39" s="14">
        <f>C39/B39*100</f>
        <v>79.358974358974351</v>
      </c>
      <c r="F39" s="112" t="s">
        <v>60</v>
      </c>
    </row>
    <row r="40" spans="1:6" x14ac:dyDescent="0.2">
      <c r="A40" s="349" t="s">
        <v>40</v>
      </c>
      <c r="B40" s="348">
        <v>744</v>
      </c>
      <c r="C40" s="348">
        <v>315</v>
      </c>
      <c r="E40" s="14">
        <f>C40/B40*100</f>
        <v>42.338709677419359</v>
      </c>
      <c r="F40" s="112" t="s">
        <v>60</v>
      </c>
    </row>
    <row r="41" spans="1:6" x14ac:dyDescent="0.2">
      <c r="A41" s="349" t="s">
        <v>41</v>
      </c>
      <c r="B41" s="348">
        <v>1751</v>
      </c>
      <c r="C41" s="348">
        <v>1297</v>
      </c>
      <c r="E41" s="14">
        <f>C41/B41*100</f>
        <v>74.071958880639627</v>
      </c>
      <c r="F41" s="112" t="s">
        <v>60</v>
      </c>
    </row>
    <row r="42" spans="1:6" x14ac:dyDescent="0.2">
      <c r="A42" s="349" t="s">
        <v>42</v>
      </c>
      <c r="B42" s="348">
        <v>2738</v>
      </c>
      <c r="C42" s="348">
        <v>901</v>
      </c>
      <c r="E42" s="14">
        <f>C42/B42*100</f>
        <v>32.907231555880209</v>
      </c>
      <c r="F42" s="112" t="s">
        <v>60</v>
      </c>
    </row>
    <row r="43" spans="1:6" x14ac:dyDescent="0.2">
      <c r="A43" s="349" t="s">
        <v>43</v>
      </c>
      <c r="B43" s="348">
        <v>4399</v>
      </c>
      <c r="C43" s="348">
        <v>33</v>
      </c>
      <c r="E43" s="346">
        <f>C43/B43*100</f>
        <v>0.75017049329393048</v>
      </c>
      <c r="F43" s="350" t="s">
        <v>60</v>
      </c>
    </row>
    <row r="44" spans="1:6" x14ac:dyDescent="0.2">
      <c r="A44" s="349" t="s">
        <v>44</v>
      </c>
      <c r="B44" s="348">
        <v>30056</v>
      </c>
      <c r="C44" s="348">
        <v>10944</v>
      </c>
      <c r="E44" s="14">
        <f>C44/B44*100</f>
        <v>36.412030875698697</v>
      </c>
      <c r="F44" s="112" t="s">
        <v>60</v>
      </c>
    </row>
    <row r="46" spans="1:6" x14ac:dyDescent="0.2">
      <c r="A46" s="113"/>
    </row>
    <row r="47" spans="1:6" x14ac:dyDescent="0.2">
      <c r="A47" s="113"/>
      <c r="B47" s="113"/>
      <c r="E47" s="5"/>
    </row>
    <row r="48" spans="1:6" ht="15" x14ac:dyDescent="0.25">
      <c r="A48" s="57" t="s">
        <v>312</v>
      </c>
    </row>
    <row r="50" spans="1:11" x14ac:dyDescent="0.2">
      <c r="A50" s="1" t="s">
        <v>54</v>
      </c>
      <c r="B50"/>
      <c r="C50"/>
      <c r="D50"/>
      <c r="E50"/>
      <c r="F50"/>
      <c r="G50"/>
      <c r="H50"/>
      <c r="I50"/>
      <c r="J50"/>
      <c r="K50"/>
    </row>
    <row r="51" spans="1:11" x14ac:dyDescent="0.2">
      <c r="A51"/>
      <c r="B51"/>
      <c r="C51"/>
      <c r="D51"/>
      <c r="E51"/>
      <c r="F51"/>
      <c r="G51"/>
      <c r="H51"/>
      <c r="I51"/>
      <c r="J51"/>
      <c r="K51"/>
    </row>
    <row r="52" spans="1:11" x14ac:dyDescent="0.2">
      <c r="A52" s="1" t="s">
        <v>1</v>
      </c>
      <c r="B52" s="2">
        <v>41683.617094907408</v>
      </c>
      <c r="C52"/>
      <c r="D52"/>
      <c r="E52"/>
      <c r="F52"/>
      <c r="G52"/>
      <c r="H52"/>
      <c r="I52"/>
      <c r="J52"/>
      <c r="K52"/>
    </row>
    <row r="53" spans="1:11" x14ac:dyDescent="0.2">
      <c r="A53" s="1" t="s">
        <v>2</v>
      </c>
      <c r="B53" s="2">
        <v>41711.466809965277</v>
      </c>
      <c r="C53"/>
      <c r="D53"/>
      <c r="E53"/>
      <c r="F53"/>
      <c r="G53"/>
      <c r="H53"/>
      <c r="I53"/>
      <c r="J53"/>
      <c r="K53"/>
    </row>
    <row r="54" spans="1:11" x14ac:dyDescent="0.2">
      <c r="A54" s="1" t="s">
        <v>3</v>
      </c>
      <c r="B54" s="1" t="s">
        <v>4</v>
      </c>
      <c r="C54"/>
      <c r="D54"/>
      <c r="E54"/>
      <c r="F54"/>
      <c r="G54"/>
      <c r="H54"/>
      <c r="I54"/>
      <c r="J54"/>
      <c r="K54"/>
    </row>
    <row r="55" spans="1:11" x14ac:dyDescent="0.2">
      <c r="A55"/>
      <c r="B55"/>
      <c r="C55"/>
      <c r="D55"/>
      <c r="E55"/>
      <c r="F55"/>
      <c r="G55"/>
      <c r="H55"/>
      <c r="I55"/>
      <c r="J55"/>
      <c r="K55"/>
    </row>
    <row r="56" spans="1:11" x14ac:dyDescent="0.2">
      <c r="A56" s="1" t="s">
        <v>292</v>
      </c>
      <c r="B56" s="1" t="s">
        <v>50</v>
      </c>
      <c r="C56"/>
      <c r="D56"/>
      <c r="E56"/>
      <c r="F56"/>
      <c r="G56"/>
      <c r="H56"/>
      <c r="I56"/>
      <c r="J56"/>
      <c r="K56"/>
    </row>
    <row r="57" spans="1:11" x14ac:dyDescent="0.2">
      <c r="A57" s="1" t="s">
        <v>7</v>
      </c>
      <c r="B57" s="1" t="s">
        <v>49</v>
      </c>
      <c r="C57"/>
      <c r="D57"/>
      <c r="E57"/>
      <c r="F57"/>
      <c r="G57"/>
      <c r="H57"/>
      <c r="I57"/>
      <c r="J57"/>
      <c r="K57"/>
    </row>
    <row r="58" spans="1:11" ht="15" x14ac:dyDescent="0.25">
      <c r="A58"/>
      <c r="B58"/>
      <c r="C58"/>
      <c r="D58"/>
      <c r="E58"/>
      <c r="F58"/>
      <c r="G58"/>
      <c r="H58"/>
      <c r="I58"/>
      <c r="J58" s="57" t="s">
        <v>310</v>
      </c>
      <c r="K58"/>
    </row>
    <row r="59" spans="1:11" x14ac:dyDescent="0.2">
      <c r="A59" s="352" t="s">
        <v>313</v>
      </c>
      <c r="B59" s="352" t="s">
        <v>5</v>
      </c>
      <c r="C59" s="352" t="s">
        <v>6</v>
      </c>
      <c r="D59" s="352" t="s">
        <v>293</v>
      </c>
      <c r="E59"/>
      <c r="F59" s="16" t="s">
        <v>294</v>
      </c>
      <c r="G59" s="16" t="s">
        <v>295</v>
      </c>
      <c r="H59"/>
      <c r="I59"/>
      <c r="J59"/>
      <c r="K59"/>
    </row>
    <row r="60" spans="1:11" x14ac:dyDescent="0.2">
      <c r="A60" s="352" t="s">
        <v>53</v>
      </c>
      <c r="B60" s="352" t="s">
        <v>8</v>
      </c>
      <c r="C60" s="352" t="s">
        <v>15</v>
      </c>
      <c r="D60" s="352" t="s">
        <v>15</v>
      </c>
      <c r="E60"/>
      <c r="F60"/>
      <c r="G60"/>
      <c r="H60"/>
      <c r="I60"/>
      <c r="J60" s="16" t="s">
        <v>314</v>
      </c>
      <c r="K60"/>
    </row>
    <row r="61" spans="1:11" x14ac:dyDescent="0.2">
      <c r="A61" s="352" t="s">
        <v>145</v>
      </c>
      <c r="B61" s="352" t="s">
        <v>17</v>
      </c>
      <c r="C61" s="353">
        <v>31779682</v>
      </c>
      <c r="D61" s="353">
        <v>29083010</v>
      </c>
      <c r="E61"/>
      <c r="F61" s="15">
        <f>C61-D61</f>
        <v>2696672</v>
      </c>
      <c r="G61" s="74">
        <f>F61/C61*100</f>
        <v>8.4855222906258163</v>
      </c>
      <c r="H61" s="16" t="s">
        <v>60</v>
      </c>
      <c r="I61"/>
      <c r="J61"/>
      <c r="K61"/>
    </row>
    <row r="62" spans="1:11" x14ac:dyDescent="0.2">
      <c r="A62" s="352" t="s">
        <v>145</v>
      </c>
      <c r="B62" s="352" t="s">
        <v>18</v>
      </c>
      <c r="C62" s="353">
        <v>656019</v>
      </c>
      <c r="D62" s="353">
        <v>634862</v>
      </c>
      <c r="E62"/>
      <c r="F62" s="15">
        <f t="shared" ref="F62:F127" si="0">C62-D62</f>
        <v>21157</v>
      </c>
      <c r="G62" s="74">
        <f t="shared" ref="G62:G125" si="1">F62/C62*100</f>
        <v>3.225059030302476</v>
      </c>
      <c r="H62" s="16" t="s">
        <v>60</v>
      </c>
      <c r="I62"/>
      <c r="J62" s="74">
        <f>(G65*C65+G66*C66+G79*C79)/(C79+C66+C65)</f>
        <v>0.25011889395042153</v>
      </c>
      <c r="K62" s="16" t="s">
        <v>60</v>
      </c>
    </row>
    <row r="63" spans="1:11" x14ac:dyDescent="0.2">
      <c r="A63" s="352" t="s">
        <v>145</v>
      </c>
      <c r="B63" s="352" t="s">
        <v>19</v>
      </c>
      <c r="C63" s="353">
        <v>110270</v>
      </c>
      <c r="D63" s="353">
        <v>108248</v>
      </c>
      <c r="E63"/>
      <c r="F63" s="15">
        <f t="shared" si="0"/>
        <v>2022</v>
      </c>
      <c r="G63" s="74">
        <f t="shared" si="1"/>
        <v>1.833680964904326</v>
      </c>
      <c r="H63" s="16" t="s">
        <v>60</v>
      </c>
      <c r="I63"/>
      <c r="J63"/>
      <c r="K63"/>
    </row>
    <row r="64" spans="1:11" x14ac:dyDescent="0.2">
      <c r="A64" s="352" t="s">
        <v>145</v>
      </c>
      <c r="B64" s="352" t="s">
        <v>20</v>
      </c>
      <c r="C64" s="353">
        <v>374591</v>
      </c>
      <c r="D64" s="353">
        <v>357121</v>
      </c>
      <c r="E64"/>
      <c r="F64" s="15">
        <f t="shared" si="0"/>
        <v>17470</v>
      </c>
      <c r="G64" s="74">
        <f t="shared" si="1"/>
        <v>4.6637532668964283</v>
      </c>
      <c r="H64" s="16" t="s">
        <v>60</v>
      </c>
      <c r="I64"/>
      <c r="J64"/>
      <c r="K64"/>
    </row>
    <row r="65" spans="1:11" x14ac:dyDescent="0.2">
      <c r="A65" s="352" t="s">
        <v>145</v>
      </c>
      <c r="B65" s="352" t="s">
        <v>21</v>
      </c>
      <c r="C65" s="353">
        <v>397273</v>
      </c>
      <c r="D65" s="353">
        <v>395834</v>
      </c>
      <c r="E65"/>
      <c r="F65" s="15">
        <f t="shared" si="0"/>
        <v>1439</v>
      </c>
      <c r="G65" s="354">
        <f t="shared" si="1"/>
        <v>0.36221943097064235</v>
      </c>
      <c r="H65" s="147" t="s">
        <v>60</v>
      </c>
      <c r="I65"/>
      <c r="J65"/>
      <c r="K65"/>
    </row>
    <row r="66" spans="1:11" x14ac:dyDescent="0.2">
      <c r="A66" s="352" t="s">
        <v>145</v>
      </c>
      <c r="B66" s="352" t="s">
        <v>315</v>
      </c>
      <c r="C66" s="353">
        <v>7346900</v>
      </c>
      <c r="D66" s="353">
        <v>7331308</v>
      </c>
      <c r="E66"/>
      <c r="F66" s="15">
        <f t="shared" si="0"/>
        <v>15592</v>
      </c>
      <c r="G66" s="354">
        <f t="shared" si="1"/>
        <v>0.21222556452381278</v>
      </c>
      <c r="H66" s="147" t="s">
        <v>60</v>
      </c>
      <c r="I66"/>
      <c r="J66"/>
      <c r="K66"/>
    </row>
    <row r="67" spans="1:11" x14ac:dyDescent="0.2">
      <c r="A67" s="352" t="s">
        <v>145</v>
      </c>
      <c r="B67" s="352" t="s">
        <v>22</v>
      </c>
      <c r="C67" s="353">
        <v>60283</v>
      </c>
      <c r="D67" s="353">
        <v>49294</v>
      </c>
      <c r="E67"/>
      <c r="F67" s="15">
        <f t="shared" si="0"/>
        <v>10989</v>
      </c>
      <c r="G67" s="74">
        <f t="shared" si="1"/>
        <v>18.229019789990545</v>
      </c>
      <c r="H67" s="16" t="s">
        <v>60</v>
      </c>
      <c r="I67"/>
      <c r="J67"/>
      <c r="K67"/>
    </row>
    <row r="68" spans="1:11" x14ac:dyDescent="0.2">
      <c r="A68" s="352" t="s">
        <v>145</v>
      </c>
      <c r="B68" s="352" t="s">
        <v>23</v>
      </c>
      <c r="C68" s="353">
        <v>334354</v>
      </c>
      <c r="D68" s="353">
        <v>305871</v>
      </c>
      <c r="E68"/>
      <c r="F68" s="15">
        <f t="shared" si="0"/>
        <v>28483</v>
      </c>
      <c r="G68" s="74">
        <f t="shared" si="1"/>
        <v>8.5188153872841355</v>
      </c>
      <c r="H68" s="16" t="s">
        <v>60</v>
      </c>
      <c r="I68"/>
      <c r="J68"/>
      <c r="K68"/>
    </row>
    <row r="69" spans="1:11" x14ac:dyDescent="0.2">
      <c r="A69" s="352" t="s">
        <v>145</v>
      </c>
      <c r="B69" s="352" t="s">
        <v>24</v>
      </c>
      <c r="C69" s="353">
        <v>378750</v>
      </c>
      <c r="D69" s="353">
        <v>347900</v>
      </c>
      <c r="E69"/>
      <c r="F69" s="15">
        <f t="shared" si="0"/>
        <v>30850</v>
      </c>
      <c r="G69" s="74">
        <f t="shared" si="1"/>
        <v>8.1452145214521448</v>
      </c>
      <c r="H69" s="16" t="s">
        <v>60</v>
      </c>
      <c r="I69"/>
      <c r="J69"/>
      <c r="K69"/>
    </row>
    <row r="70" spans="1:11" x14ac:dyDescent="0.2">
      <c r="A70" s="352" t="s">
        <v>145</v>
      </c>
      <c r="B70" s="352" t="s">
        <v>25</v>
      </c>
      <c r="C70" s="353">
        <v>3411000</v>
      </c>
      <c r="D70" s="353">
        <v>2802652</v>
      </c>
      <c r="E70"/>
      <c r="F70" s="15">
        <f t="shared" si="0"/>
        <v>608348</v>
      </c>
      <c r="G70" s="74">
        <f t="shared" si="1"/>
        <v>17.834887129873938</v>
      </c>
      <c r="H70" s="16" t="s">
        <v>60</v>
      </c>
      <c r="I70"/>
      <c r="J70"/>
      <c r="K70"/>
    </row>
    <row r="71" spans="1:11" x14ac:dyDescent="0.2">
      <c r="A71" s="352" t="s">
        <v>145</v>
      </c>
      <c r="B71" s="352" t="s">
        <v>26</v>
      </c>
      <c r="C71" s="353">
        <v>4881558</v>
      </c>
      <c r="D71" s="353">
        <v>4581883</v>
      </c>
      <c r="E71"/>
      <c r="F71" s="15">
        <f t="shared" si="0"/>
        <v>299675</v>
      </c>
      <c r="G71" s="74">
        <f t="shared" si="1"/>
        <v>6.1389212214624918</v>
      </c>
      <c r="H71" s="16" t="s">
        <v>60</v>
      </c>
      <c r="I71"/>
      <c r="J71"/>
      <c r="K71"/>
    </row>
    <row r="72" spans="1:11" x14ac:dyDescent="0.2">
      <c r="A72" s="352" t="s">
        <v>145</v>
      </c>
      <c r="B72" s="352" t="s">
        <v>28</v>
      </c>
      <c r="C72" s="353">
        <v>4436203</v>
      </c>
      <c r="D72" s="353">
        <v>3880642</v>
      </c>
      <c r="E72"/>
      <c r="F72" s="15">
        <f t="shared" si="0"/>
        <v>555561</v>
      </c>
      <c r="G72" s="74">
        <f t="shared" si="1"/>
        <v>12.523344851441651</v>
      </c>
      <c r="H72" s="16" t="s">
        <v>60</v>
      </c>
      <c r="I72"/>
      <c r="J72"/>
      <c r="K72"/>
    </row>
    <row r="73" spans="1:11" x14ac:dyDescent="0.2">
      <c r="A73" s="352" t="s">
        <v>145</v>
      </c>
      <c r="B73" s="352" t="s">
        <v>29</v>
      </c>
      <c r="C73" s="353">
        <v>24865</v>
      </c>
      <c r="D73" s="353">
        <v>21970</v>
      </c>
      <c r="E73"/>
      <c r="F73" s="15">
        <f t="shared" si="0"/>
        <v>2895</v>
      </c>
      <c r="G73" s="74">
        <f t="shared" si="1"/>
        <v>11.642871506133119</v>
      </c>
      <c r="H73" s="16" t="s">
        <v>60</v>
      </c>
      <c r="I73"/>
      <c r="J73"/>
      <c r="K73"/>
    </row>
    <row r="74" spans="1:11" x14ac:dyDescent="0.2">
      <c r="A74" s="352" t="s">
        <v>145</v>
      </c>
      <c r="B74" s="352" t="s">
        <v>30</v>
      </c>
      <c r="C74" s="353">
        <v>64009</v>
      </c>
      <c r="D74" s="353">
        <v>48195</v>
      </c>
      <c r="E74"/>
      <c r="F74" s="15">
        <f t="shared" si="0"/>
        <v>15814</v>
      </c>
      <c r="G74" s="74">
        <f t="shared" si="1"/>
        <v>24.705900732709463</v>
      </c>
      <c r="H74" s="16" t="s">
        <v>60</v>
      </c>
      <c r="I74"/>
      <c r="J74"/>
      <c r="K74"/>
    </row>
    <row r="75" spans="1:11" x14ac:dyDescent="0.2">
      <c r="A75" s="352" t="s">
        <v>145</v>
      </c>
      <c r="B75" s="352" t="s">
        <v>31</v>
      </c>
      <c r="C75" s="353">
        <v>88589</v>
      </c>
      <c r="D75" s="353">
        <v>74178</v>
      </c>
      <c r="E75"/>
      <c r="F75" s="15">
        <f t="shared" si="0"/>
        <v>14411</v>
      </c>
      <c r="G75" s="74">
        <f t="shared" si="1"/>
        <v>16.267256657147051</v>
      </c>
      <c r="H75" s="16" t="s">
        <v>60</v>
      </c>
      <c r="I75"/>
      <c r="J75"/>
      <c r="K75"/>
    </row>
    <row r="76" spans="1:11" x14ac:dyDescent="0.2">
      <c r="A76" s="352" t="s">
        <v>145</v>
      </c>
      <c r="B76" s="352" t="s">
        <v>32</v>
      </c>
      <c r="C76" s="353">
        <v>32700</v>
      </c>
      <c r="D76" s="353">
        <v>30992</v>
      </c>
      <c r="E76"/>
      <c r="F76" s="15">
        <f t="shared" si="0"/>
        <v>1708</v>
      </c>
      <c r="G76" s="74">
        <f t="shared" si="1"/>
        <v>5.2232415902140676</v>
      </c>
      <c r="H76" s="16" t="s">
        <v>60</v>
      </c>
      <c r="I76"/>
      <c r="J76"/>
      <c r="K76"/>
    </row>
    <row r="77" spans="1:11" x14ac:dyDescent="0.2">
      <c r="A77" s="352" t="s">
        <v>145</v>
      </c>
      <c r="B77" s="352" t="s">
        <v>33</v>
      </c>
      <c r="C77" s="353">
        <v>276533</v>
      </c>
      <c r="D77" s="353">
        <v>263585</v>
      </c>
      <c r="E77"/>
      <c r="F77" s="15">
        <f t="shared" si="0"/>
        <v>12948</v>
      </c>
      <c r="G77" s="74">
        <f t="shared" si="1"/>
        <v>4.6822621531607442</v>
      </c>
      <c r="H77" s="16" t="s">
        <v>60</v>
      </c>
      <c r="I77"/>
      <c r="J77"/>
      <c r="K77"/>
    </row>
    <row r="78" spans="1:11" x14ac:dyDescent="0.2">
      <c r="A78" s="352" t="s">
        <v>145</v>
      </c>
      <c r="B78" s="352" t="s">
        <v>34</v>
      </c>
      <c r="C78" s="353">
        <v>22209</v>
      </c>
      <c r="D78" s="353">
        <v>16239</v>
      </c>
      <c r="E78"/>
      <c r="F78" s="15">
        <f t="shared" si="0"/>
        <v>5970</v>
      </c>
      <c r="G78" s="74">
        <f t="shared" si="1"/>
        <v>26.880994191543966</v>
      </c>
      <c r="H78" s="16" t="s">
        <v>60</v>
      </c>
      <c r="I78"/>
      <c r="J78"/>
      <c r="K78"/>
    </row>
    <row r="79" spans="1:11" x14ac:dyDescent="0.2">
      <c r="A79" s="352" t="s">
        <v>145</v>
      </c>
      <c r="B79" s="352" t="s">
        <v>35</v>
      </c>
      <c r="C79" s="353">
        <v>1144000</v>
      </c>
      <c r="D79" s="353">
        <v>1138800</v>
      </c>
      <c r="E79"/>
      <c r="F79" s="15">
        <f t="shared" si="0"/>
        <v>5200</v>
      </c>
      <c r="G79" s="354">
        <f t="shared" si="1"/>
        <v>0.45454545454545453</v>
      </c>
      <c r="H79" s="147" t="s">
        <v>60</v>
      </c>
      <c r="I79"/>
      <c r="J79"/>
      <c r="K79"/>
    </row>
    <row r="80" spans="1:11" x14ac:dyDescent="0.2">
      <c r="A80" s="352" t="s">
        <v>145</v>
      </c>
      <c r="B80" s="352" t="s">
        <v>36</v>
      </c>
      <c r="C80" s="353">
        <v>501978</v>
      </c>
      <c r="D80" s="353">
        <v>486457</v>
      </c>
      <c r="E80"/>
      <c r="F80" s="15">
        <f t="shared" si="0"/>
        <v>15521</v>
      </c>
      <c r="G80" s="74">
        <f t="shared" si="1"/>
        <v>3.0919681739040357</v>
      </c>
      <c r="H80" s="16" t="s">
        <v>60</v>
      </c>
      <c r="I80"/>
      <c r="J80"/>
      <c r="K80"/>
    </row>
    <row r="81" spans="1:11" x14ac:dyDescent="0.2">
      <c r="A81" s="352" t="s">
        <v>145</v>
      </c>
      <c r="B81" s="352" t="s">
        <v>37</v>
      </c>
      <c r="C81" s="353">
        <v>1419869</v>
      </c>
      <c r="D81" s="353">
        <v>980072</v>
      </c>
      <c r="E81"/>
      <c r="F81" s="15">
        <f t="shared" si="0"/>
        <v>439797</v>
      </c>
      <c r="G81" s="74">
        <f t="shared" si="1"/>
        <v>30.974477222898734</v>
      </c>
      <c r="H81" s="16" t="s">
        <v>60</v>
      </c>
      <c r="I81"/>
      <c r="J81"/>
      <c r="K81"/>
    </row>
    <row r="82" spans="1:11" x14ac:dyDescent="0.2">
      <c r="A82" s="352" t="s">
        <v>145</v>
      </c>
      <c r="B82" s="352" t="s">
        <v>38</v>
      </c>
      <c r="C82" s="353">
        <v>687267</v>
      </c>
      <c r="D82" s="353">
        <v>516784</v>
      </c>
      <c r="E82"/>
      <c r="F82" s="15">
        <f t="shared" si="0"/>
        <v>170483</v>
      </c>
      <c r="G82" s="74">
        <f t="shared" si="1"/>
        <v>24.805934229346089</v>
      </c>
      <c r="H82" s="16" t="s">
        <v>60</v>
      </c>
      <c r="I82"/>
      <c r="J82"/>
      <c r="K82"/>
    </row>
    <row r="83" spans="1:11" x14ac:dyDescent="0.2">
      <c r="A83" s="352" t="s">
        <v>145</v>
      </c>
      <c r="B83" s="352" t="s">
        <v>39</v>
      </c>
      <c r="C83" s="353">
        <v>293100</v>
      </c>
      <c r="D83" s="353">
        <v>199340</v>
      </c>
      <c r="E83"/>
      <c r="F83" s="15">
        <f t="shared" si="0"/>
        <v>93760</v>
      </c>
      <c r="G83" s="74">
        <f t="shared" si="1"/>
        <v>31.989082224496755</v>
      </c>
      <c r="H83" s="16" t="s">
        <v>60</v>
      </c>
      <c r="I83"/>
      <c r="J83"/>
      <c r="K83"/>
    </row>
    <row r="84" spans="1:11" x14ac:dyDescent="0.2">
      <c r="A84" s="352" t="s">
        <v>145</v>
      </c>
      <c r="B84" s="352" t="s">
        <v>40</v>
      </c>
      <c r="C84" s="353">
        <v>82226</v>
      </c>
      <c r="D84" s="353">
        <v>63275</v>
      </c>
      <c r="E84"/>
      <c r="F84" s="15">
        <f t="shared" si="0"/>
        <v>18951</v>
      </c>
      <c r="G84" s="74">
        <f t="shared" si="1"/>
        <v>23.047454576411354</v>
      </c>
      <c r="H84" s="16" t="s">
        <v>60</v>
      </c>
      <c r="I84"/>
      <c r="J84"/>
      <c r="K84"/>
    </row>
    <row r="85" spans="1:11" x14ac:dyDescent="0.2">
      <c r="A85" s="352" t="s">
        <v>145</v>
      </c>
      <c r="B85" s="352" t="s">
        <v>41</v>
      </c>
      <c r="C85" s="353">
        <v>177742</v>
      </c>
      <c r="D85" s="353">
        <v>145448</v>
      </c>
      <c r="E85"/>
      <c r="F85" s="15">
        <f t="shared" si="0"/>
        <v>32294</v>
      </c>
      <c r="G85" s="74">
        <f t="shared" si="1"/>
        <v>18.169031517592916</v>
      </c>
      <c r="H85" s="16" t="s">
        <v>60</v>
      </c>
      <c r="I85"/>
      <c r="J85"/>
      <c r="K85"/>
    </row>
    <row r="86" spans="1:11" x14ac:dyDescent="0.2">
      <c r="A86" s="352" t="s">
        <v>145</v>
      </c>
      <c r="B86" s="352" t="s">
        <v>42</v>
      </c>
      <c r="C86" s="353">
        <v>255051</v>
      </c>
      <c r="D86" s="353">
        <v>270376</v>
      </c>
      <c r="E86"/>
      <c r="F86" s="15"/>
      <c r="G86" s="74"/>
      <c r="H86" s="16"/>
      <c r="I86"/>
      <c r="J86"/>
      <c r="K86"/>
    </row>
    <row r="87" spans="1:11" x14ac:dyDescent="0.2">
      <c r="A87" s="352" t="s">
        <v>145</v>
      </c>
      <c r="B87" s="352" t="s">
        <v>43</v>
      </c>
      <c r="C87" s="353">
        <v>504483</v>
      </c>
      <c r="D87" s="353">
        <v>381129</v>
      </c>
      <c r="E87"/>
      <c r="F87" s="15">
        <f t="shared" si="0"/>
        <v>123354</v>
      </c>
      <c r="G87" s="74">
        <f t="shared" si="1"/>
        <v>24.451567248053948</v>
      </c>
      <c r="H87" s="16" t="s">
        <v>60</v>
      </c>
      <c r="I87"/>
      <c r="J87"/>
      <c r="K87"/>
    </row>
    <row r="88" spans="1:11" x14ac:dyDescent="0.2">
      <c r="A88" s="352" t="s">
        <v>145</v>
      </c>
      <c r="B88" s="352" t="s">
        <v>44</v>
      </c>
      <c r="C88" s="353">
        <v>3817860</v>
      </c>
      <c r="D88" s="353">
        <v>3650555</v>
      </c>
      <c r="E88"/>
      <c r="F88" s="15">
        <f t="shared" si="0"/>
        <v>167305</v>
      </c>
      <c r="G88" s="74">
        <f t="shared" si="1"/>
        <v>4.382166973121068</v>
      </c>
      <c r="H88" s="16" t="s">
        <v>60</v>
      </c>
      <c r="I88"/>
      <c r="J88"/>
      <c r="K88"/>
    </row>
    <row r="89" spans="1:11" x14ac:dyDescent="0.2">
      <c r="A89"/>
      <c r="B89"/>
      <c r="C89"/>
      <c r="D89"/>
      <c r="E89"/>
      <c r="F89"/>
      <c r="G89"/>
      <c r="H89"/>
      <c r="I89"/>
      <c r="J89"/>
      <c r="K89"/>
    </row>
    <row r="90" spans="1:11" x14ac:dyDescent="0.2">
      <c r="A90" s="352" t="s">
        <v>144</v>
      </c>
      <c r="B90" s="352" t="s">
        <v>17</v>
      </c>
      <c r="C90" s="353">
        <v>14944821</v>
      </c>
      <c r="D90" s="353">
        <v>9478600</v>
      </c>
      <c r="E90"/>
      <c r="F90" s="15">
        <f t="shared" si="0"/>
        <v>5466221</v>
      </c>
      <c r="G90" s="74">
        <f t="shared" si="1"/>
        <v>36.576021887448498</v>
      </c>
      <c r="H90" s="16" t="s">
        <v>60</v>
      </c>
      <c r="I90"/>
      <c r="J90" s="16" t="s">
        <v>314</v>
      </c>
      <c r="K90"/>
    </row>
    <row r="91" spans="1:11" x14ac:dyDescent="0.2">
      <c r="A91" s="352" t="s">
        <v>144</v>
      </c>
      <c r="B91" s="352" t="s">
        <v>18</v>
      </c>
      <c r="C91" s="353">
        <v>315961</v>
      </c>
      <c r="D91" s="353">
        <v>291755</v>
      </c>
      <c r="E91"/>
      <c r="F91" s="15">
        <f t="shared" si="0"/>
        <v>24206</v>
      </c>
      <c r="G91" s="74">
        <f t="shared" si="1"/>
        <v>7.6610720943407564</v>
      </c>
      <c r="H91" s="16" t="s">
        <v>60</v>
      </c>
      <c r="I91"/>
      <c r="J91"/>
      <c r="K91"/>
    </row>
    <row r="92" spans="1:11" x14ac:dyDescent="0.2">
      <c r="A92" s="352" t="s">
        <v>144</v>
      </c>
      <c r="B92" s="352" t="s">
        <v>19</v>
      </c>
      <c r="C92" s="353">
        <v>94963</v>
      </c>
      <c r="D92" s="353">
        <v>37818</v>
      </c>
      <c r="E92"/>
      <c r="F92" s="15">
        <f t="shared" si="0"/>
        <v>57145</v>
      </c>
      <c r="G92" s="74">
        <f t="shared" si="1"/>
        <v>60.176068574076226</v>
      </c>
      <c r="H92" s="16" t="s">
        <v>60</v>
      </c>
      <c r="I92"/>
      <c r="J92" s="74">
        <f>(G95*C95+G108*C108+G109*C109)/(C95+C108+C109)</f>
        <v>0.62276977409562473</v>
      </c>
      <c r="K92" s="16" t="s">
        <v>60</v>
      </c>
    </row>
    <row r="93" spans="1:11" x14ac:dyDescent="0.2">
      <c r="A93" s="352" t="s">
        <v>144</v>
      </c>
      <c r="B93" s="352" t="s">
        <v>20</v>
      </c>
      <c r="C93" s="353">
        <v>209414</v>
      </c>
      <c r="D93" s="353">
        <v>148025</v>
      </c>
      <c r="E93"/>
      <c r="F93" s="15">
        <f t="shared" si="0"/>
        <v>61389</v>
      </c>
      <c r="G93" s="74">
        <f t="shared" si="1"/>
        <v>29.31465900083089</v>
      </c>
      <c r="H93" s="16" t="s">
        <v>60</v>
      </c>
      <c r="I93"/>
      <c r="J93"/>
      <c r="K93"/>
    </row>
    <row r="94" spans="1:11" x14ac:dyDescent="0.2">
      <c r="A94" s="352" t="s">
        <v>144</v>
      </c>
      <c r="B94" s="352" t="s">
        <v>21</v>
      </c>
      <c r="C94" s="353">
        <v>188261</v>
      </c>
      <c r="D94" s="353">
        <v>183872</v>
      </c>
      <c r="E94"/>
      <c r="F94" s="15">
        <f t="shared" si="0"/>
        <v>4389</v>
      </c>
      <c r="G94" s="74">
        <f t="shared" si="1"/>
        <v>2.3313378766712174</v>
      </c>
      <c r="H94" s="16" t="s">
        <v>60</v>
      </c>
      <c r="I94"/>
      <c r="J94"/>
      <c r="K94"/>
    </row>
    <row r="95" spans="1:11" x14ac:dyDescent="0.2">
      <c r="A95" s="352" t="s">
        <v>144</v>
      </c>
      <c r="B95" s="352" t="s">
        <v>315</v>
      </c>
      <c r="C95" s="353">
        <v>2775800</v>
      </c>
      <c r="D95" s="353">
        <v>2761983</v>
      </c>
      <c r="E95"/>
      <c r="F95" s="15">
        <f t="shared" si="0"/>
        <v>13817</v>
      </c>
      <c r="G95" s="354">
        <f t="shared" si="1"/>
        <v>0.49776640968369479</v>
      </c>
      <c r="H95" s="147" t="s">
        <v>60</v>
      </c>
      <c r="I95"/>
      <c r="J95"/>
      <c r="K95"/>
    </row>
    <row r="96" spans="1:11" x14ac:dyDescent="0.2">
      <c r="A96" s="352" t="s">
        <v>144</v>
      </c>
      <c r="B96" s="352" t="s">
        <v>22</v>
      </c>
      <c r="C96" s="353">
        <v>52006</v>
      </c>
      <c r="D96" s="353">
        <v>24692</v>
      </c>
      <c r="E96"/>
      <c r="F96" s="15">
        <f t="shared" si="0"/>
        <v>27314</v>
      </c>
      <c r="G96" s="74">
        <f t="shared" si="1"/>
        <v>52.52086297734877</v>
      </c>
      <c r="H96" s="16" t="s">
        <v>60</v>
      </c>
      <c r="I96"/>
      <c r="J96"/>
      <c r="K96"/>
    </row>
    <row r="97" spans="1:11" x14ac:dyDescent="0.2">
      <c r="A97" s="352" t="s">
        <v>144</v>
      </c>
      <c r="B97" s="352" t="s">
        <v>23</v>
      </c>
      <c r="C97" s="353">
        <v>158707</v>
      </c>
      <c r="D97" s="353">
        <v>75366</v>
      </c>
      <c r="E97"/>
      <c r="F97" s="15">
        <f t="shared" si="0"/>
        <v>83341</v>
      </c>
      <c r="G97" s="74">
        <f t="shared" si="1"/>
        <v>52.512491572520425</v>
      </c>
      <c r="H97" s="16" t="s">
        <v>60</v>
      </c>
      <c r="I97"/>
      <c r="J97"/>
      <c r="K97"/>
    </row>
    <row r="98" spans="1:11" x14ac:dyDescent="0.2">
      <c r="A98" s="352" t="s">
        <v>144</v>
      </c>
      <c r="B98" s="352" t="s">
        <v>24</v>
      </c>
      <c r="C98" s="353">
        <v>207770</v>
      </c>
      <c r="D98" s="353">
        <v>68530</v>
      </c>
      <c r="E98"/>
      <c r="F98" s="15">
        <f t="shared" si="0"/>
        <v>139240</v>
      </c>
      <c r="G98" s="74">
        <f t="shared" si="1"/>
        <v>67.016412379073003</v>
      </c>
      <c r="H98" s="16" t="s">
        <v>60</v>
      </c>
      <c r="I98"/>
      <c r="J98"/>
      <c r="K98"/>
    </row>
    <row r="99" spans="1:11" x14ac:dyDescent="0.2">
      <c r="A99" s="352" t="s">
        <v>144</v>
      </c>
      <c r="B99" s="352" t="s">
        <v>25</v>
      </c>
      <c r="C99" s="353">
        <v>1355155</v>
      </c>
      <c r="D99" s="353">
        <v>751781</v>
      </c>
      <c r="E99"/>
      <c r="F99" s="15">
        <f t="shared" si="0"/>
        <v>603374</v>
      </c>
      <c r="G99" s="74">
        <f t="shared" si="1"/>
        <v>44.524353302758726</v>
      </c>
      <c r="H99" s="16" t="s">
        <v>60</v>
      </c>
      <c r="I99"/>
      <c r="J99"/>
      <c r="K99"/>
    </row>
    <row r="100" spans="1:11" x14ac:dyDescent="0.2">
      <c r="A100" s="352" t="s">
        <v>144</v>
      </c>
      <c r="B100" s="352" t="s">
        <v>26</v>
      </c>
      <c r="C100" s="353">
        <v>2031859</v>
      </c>
      <c r="D100" s="353">
        <v>1239043</v>
      </c>
      <c r="E100"/>
      <c r="F100" s="15">
        <f t="shared" si="0"/>
        <v>792816</v>
      </c>
      <c r="G100" s="74">
        <f t="shared" si="1"/>
        <v>39.019242969123354</v>
      </c>
      <c r="H100" s="16" t="s">
        <v>60</v>
      </c>
      <c r="I100"/>
      <c r="J100"/>
      <c r="K100"/>
    </row>
    <row r="101" spans="1:11" x14ac:dyDescent="0.2">
      <c r="A101" s="352" t="s">
        <v>144</v>
      </c>
      <c r="B101" s="352" t="s">
        <v>28</v>
      </c>
      <c r="C101" s="353">
        <v>2075000</v>
      </c>
      <c r="D101" s="353">
        <v>1411819</v>
      </c>
      <c r="E101"/>
      <c r="F101" s="15">
        <f t="shared" si="0"/>
        <v>663181</v>
      </c>
      <c r="G101" s="74">
        <f t="shared" si="1"/>
        <v>31.960530120481927</v>
      </c>
      <c r="H101" s="16" t="s">
        <v>60</v>
      </c>
      <c r="I101"/>
      <c r="J101"/>
      <c r="K101"/>
    </row>
    <row r="102" spans="1:11" x14ac:dyDescent="0.2">
      <c r="A102" s="352" t="s">
        <v>144</v>
      </c>
      <c r="B102" s="352" t="s">
        <v>29</v>
      </c>
      <c r="C102" s="353">
        <v>15184</v>
      </c>
      <c r="D102" s="353">
        <v>5784</v>
      </c>
      <c r="E102"/>
      <c r="F102" s="15">
        <f t="shared" si="0"/>
        <v>9400</v>
      </c>
      <c r="G102" s="74">
        <f t="shared" si="1"/>
        <v>61.9072708113804</v>
      </c>
      <c r="H102" s="16" t="s">
        <v>60</v>
      </c>
      <c r="I102"/>
      <c r="J102"/>
      <c r="K102"/>
    </row>
    <row r="103" spans="1:11" x14ac:dyDescent="0.2">
      <c r="A103" s="352" t="s">
        <v>144</v>
      </c>
      <c r="B103" s="352" t="s">
        <v>30</v>
      </c>
      <c r="C103" s="353">
        <v>36186</v>
      </c>
      <c r="D103" s="353">
        <v>12679</v>
      </c>
      <c r="E103"/>
      <c r="F103" s="15">
        <f t="shared" si="0"/>
        <v>23507</v>
      </c>
      <c r="G103" s="74">
        <f t="shared" si="1"/>
        <v>64.961587354225387</v>
      </c>
      <c r="H103" s="16" t="s">
        <v>60</v>
      </c>
      <c r="I103"/>
      <c r="J103"/>
      <c r="K103"/>
    </row>
    <row r="104" spans="1:11" x14ac:dyDescent="0.2">
      <c r="A104" s="352" t="s">
        <v>144</v>
      </c>
      <c r="B104" s="352" t="s">
        <v>31</v>
      </c>
      <c r="C104" s="353">
        <v>60356</v>
      </c>
      <c r="D104" s="353">
        <v>23477</v>
      </c>
      <c r="E104"/>
      <c r="F104" s="15">
        <f t="shared" si="0"/>
        <v>36879</v>
      </c>
      <c r="G104" s="74">
        <f t="shared" si="1"/>
        <v>61.102458744780961</v>
      </c>
      <c r="H104" s="16" t="s">
        <v>60</v>
      </c>
      <c r="I104"/>
      <c r="J104"/>
      <c r="K104"/>
    </row>
    <row r="105" spans="1:11" x14ac:dyDescent="0.2">
      <c r="A105" s="352" t="s">
        <v>144</v>
      </c>
      <c r="B105" s="352" t="s">
        <v>32</v>
      </c>
      <c r="C105" s="353">
        <v>23800</v>
      </c>
      <c r="D105" s="353">
        <v>20754</v>
      </c>
      <c r="E105"/>
      <c r="F105" s="15">
        <f t="shared" si="0"/>
        <v>3046</v>
      </c>
      <c r="G105" s="74">
        <f t="shared" si="1"/>
        <v>12.798319327731091</v>
      </c>
      <c r="H105" s="16" t="s">
        <v>60</v>
      </c>
      <c r="I105"/>
      <c r="J105"/>
      <c r="K105"/>
    </row>
    <row r="106" spans="1:11" x14ac:dyDescent="0.2">
      <c r="A106" s="352" t="s">
        <v>144</v>
      </c>
      <c r="B106" s="352" t="s">
        <v>33</v>
      </c>
      <c r="C106" s="353">
        <v>208662</v>
      </c>
      <c r="D106" s="353">
        <v>102366</v>
      </c>
      <c r="E106"/>
      <c r="F106" s="15">
        <f t="shared" si="0"/>
        <v>106296</v>
      </c>
      <c r="G106" s="74">
        <f t="shared" si="1"/>
        <v>50.941714351439174</v>
      </c>
      <c r="H106" s="16" t="s">
        <v>60</v>
      </c>
      <c r="I106"/>
      <c r="J106"/>
      <c r="K106"/>
    </row>
    <row r="107" spans="1:11" x14ac:dyDescent="0.2">
      <c r="A107" s="352" t="s">
        <v>144</v>
      </c>
      <c r="B107" s="352" t="s">
        <v>34</v>
      </c>
      <c r="C107" s="353">
        <v>11403</v>
      </c>
      <c r="D107" s="353">
        <v>3370</v>
      </c>
      <c r="E107"/>
      <c r="F107" s="15">
        <f t="shared" si="0"/>
        <v>8033</v>
      </c>
      <c r="G107" s="74">
        <f t="shared" si="1"/>
        <v>70.446373761290886</v>
      </c>
      <c r="H107" s="16" t="s">
        <v>60</v>
      </c>
      <c r="I107"/>
      <c r="J107"/>
      <c r="K107"/>
    </row>
    <row r="108" spans="1:11" x14ac:dyDescent="0.2">
      <c r="A108" s="352" t="s">
        <v>144</v>
      </c>
      <c r="B108" s="352" t="s">
        <v>35</v>
      </c>
      <c r="C108" s="353">
        <v>444000</v>
      </c>
      <c r="D108" s="353">
        <v>436120</v>
      </c>
      <c r="E108"/>
      <c r="F108" s="15">
        <f t="shared" si="0"/>
        <v>7880</v>
      </c>
      <c r="G108" s="354">
        <f t="shared" si="1"/>
        <v>1.7747747747747746</v>
      </c>
      <c r="H108" s="147" t="s">
        <v>60</v>
      </c>
      <c r="I108"/>
      <c r="J108"/>
      <c r="K108"/>
    </row>
    <row r="109" spans="1:11" x14ac:dyDescent="0.2">
      <c r="A109" s="352" t="s">
        <v>144</v>
      </c>
      <c r="B109" s="352" t="s">
        <v>36</v>
      </c>
      <c r="C109" s="353">
        <v>264152</v>
      </c>
      <c r="D109" s="353">
        <v>264152</v>
      </c>
      <c r="E109"/>
      <c r="F109" s="15">
        <f t="shared" si="0"/>
        <v>0</v>
      </c>
      <c r="G109" s="354">
        <f t="shared" si="1"/>
        <v>0</v>
      </c>
      <c r="H109" s="147" t="s">
        <v>60</v>
      </c>
      <c r="I109"/>
      <c r="J109"/>
      <c r="K109"/>
    </row>
    <row r="110" spans="1:11" x14ac:dyDescent="0.2">
      <c r="A110" s="352" t="s">
        <v>144</v>
      </c>
      <c r="B110" s="352" t="s">
        <v>37</v>
      </c>
      <c r="C110" s="353">
        <v>784474</v>
      </c>
      <c r="D110" s="353">
        <v>202875</v>
      </c>
      <c r="E110"/>
      <c r="F110" s="15">
        <f t="shared" si="0"/>
        <v>581599</v>
      </c>
      <c r="G110" s="74">
        <f t="shared" si="1"/>
        <v>74.138722252107783</v>
      </c>
      <c r="H110" s="16" t="s">
        <v>60</v>
      </c>
      <c r="I110"/>
      <c r="J110"/>
      <c r="K110"/>
    </row>
    <row r="111" spans="1:11" x14ac:dyDescent="0.2">
      <c r="A111" s="352" t="s">
        <v>144</v>
      </c>
      <c r="B111" s="352" t="s">
        <v>38</v>
      </c>
      <c r="C111" s="353">
        <v>356709</v>
      </c>
      <c r="D111" s="353">
        <v>135760</v>
      </c>
      <c r="E111"/>
      <c r="F111" s="15">
        <f t="shared" si="0"/>
        <v>220949</v>
      </c>
      <c r="G111" s="74">
        <f t="shared" si="1"/>
        <v>61.940965885357535</v>
      </c>
      <c r="H111" s="16" t="s">
        <v>60</v>
      </c>
      <c r="I111"/>
      <c r="J111"/>
      <c r="K111"/>
    </row>
    <row r="112" spans="1:11" x14ac:dyDescent="0.2">
      <c r="A112" s="352" t="s">
        <v>144</v>
      </c>
      <c r="B112" s="352" t="s">
        <v>39</v>
      </c>
      <c r="C112" s="353">
        <v>278810</v>
      </c>
      <c r="D112" s="353">
        <v>120370</v>
      </c>
      <c r="E112"/>
      <c r="F112" s="15">
        <f t="shared" si="0"/>
        <v>158440</v>
      </c>
      <c r="G112" s="74">
        <f t="shared" si="1"/>
        <v>56.827230013270693</v>
      </c>
      <c r="H112" s="16" t="s">
        <v>60</v>
      </c>
      <c r="I112"/>
      <c r="J112"/>
      <c r="K112"/>
    </row>
    <row r="113" spans="1:11" x14ac:dyDescent="0.2">
      <c r="A113" s="352" t="s">
        <v>144</v>
      </c>
      <c r="B113" s="352" t="s">
        <v>40</v>
      </c>
      <c r="C113" s="353">
        <v>44729</v>
      </c>
      <c r="D113" s="353">
        <v>36635</v>
      </c>
      <c r="E113"/>
      <c r="F113" s="15">
        <f t="shared" si="0"/>
        <v>8094</v>
      </c>
      <c r="G113" s="74">
        <f t="shared" si="1"/>
        <v>18.095642647946523</v>
      </c>
      <c r="H113" s="16" t="s">
        <v>60</v>
      </c>
      <c r="I113"/>
      <c r="J113"/>
      <c r="K113"/>
    </row>
    <row r="114" spans="1:11" x14ac:dyDescent="0.2">
      <c r="A114" s="352" t="s">
        <v>144</v>
      </c>
      <c r="B114" s="352" t="s">
        <v>41</v>
      </c>
      <c r="C114" s="353">
        <v>106624</v>
      </c>
      <c r="D114" s="353">
        <v>57248</v>
      </c>
      <c r="E114"/>
      <c r="F114" s="15">
        <f t="shared" si="0"/>
        <v>49376</v>
      </c>
      <c r="G114" s="74">
        <f t="shared" si="1"/>
        <v>46.308523409363744</v>
      </c>
      <c r="H114" s="16" t="s">
        <v>60</v>
      </c>
      <c r="I114"/>
      <c r="J114"/>
      <c r="K114"/>
    </row>
    <row r="115" spans="1:11" x14ac:dyDescent="0.2">
      <c r="A115" s="352" t="s">
        <v>144</v>
      </c>
      <c r="B115" s="352" t="s">
        <v>42</v>
      </c>
      <c r="C115" s="353">
        <v>117126</v>
      </c>
      <c r="D115" s="353">
        <v>54768</v>
      </c>
      <c r="E115"/>
      <c r="F115" s="15">
        <f t="shared" si="0"/>
        <v>62358</v>
      </c>
      <c r="G115" s="74">
        <f t="shared" si="1"/>
        <v>53.240100404692384</v>
      </c>
      <c r="H115" s="16" t="s">
        <v>60</v>
      </c>
      <c r="I115"/>
      <c r="J115"/>
      <c r="K115"/>
    </row>
    <row r="116" spans="1:11" x14ac:dyDescent="0.2">
      <c r="A116" s="352" t="s">
        <v>144</v>
      </c>
      <c r="B116" s="352" t="s">
        <v>43</v>
      </c>
      <c r="C116" s="353">
        <v>211901</v>
      </c>
      <c r="D116" s="353">
        <v>123403</v>
      </c>
      <c r="E116"/>
      <c r="F116" s="15">
        <f t="shared" si="0"/>
        <v>88498</v>
      </c>
      <c r="G116" s="74">
        <f t="shared" si="1"/>
        <v>41.763842549114912</v>
      </c>
      <c r="H116" s="16" t="s">
        <v>60</v>
      </c>
      <c r="I116"/>
      <c r="J116"/>
      <c r="K116"/>
    </row>
    <row r="117" spans="1:11" x14ac:dyDescent="0.2">
      <c r="A117" s="352" t="s">
        <v>144</v>
      </c>
      <c r="B117" s="352" t="s">
        <v>44</v>
      </c>
      <c r="C117" s="353">
        <v>2515809</v>
      </c>
      <c r="D117" s="353">
        <v>884155</v>
      </c>
      <c r="E117"/>
      <c r="F117" s="15">
        <f t="shared" si="0"/>
        <v>1631654</v>
      </c>
      <c r="G117" s="74">
        <f t="shared" si="1"/>
        <v>64.856036368420661</v>
      </c>
      <c r="H117" s="16" t="s">
        <v>60</v>
      </c>
      <c r="I117"/>
      <c r="J117"/>
      <c r="K117"/>
    </row>
    <row r="118" spans="1:11" x14ac:dyDescent="0.2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">
      <c r="A119" s="352" t="s">
        <v>297</v>
      </c>
      <c r="B119" s="352" t="s">
        <v>17</v>
      </c>
      <c r="C119" s="353">
        <v>12380655</v>
      </c>
      <c r="D119" s="353">
        <v>8375813</v>
      </c>
      <c r="E119"/>
      <c r="F119" s="15">
        <f t="shared" si="0"/>
        <v>4004842</v>
      </c>
      <c r="G119" s="74">
        <f t="shared" si="1"/>
        <v>32.347577733165167</v>
      </c>
      <c r="H119" s="16" t="s">
        <v>60</v>
      </c>
      <c r="I119"/>
      <c r="J119" s="16" t="s">
        <v>314</v>
      </c>
      <c r="K119"/>
    </row>
    <row r="120" spans="1:11" x14ac:dyDescent="0.2">
      <c r="A120" s="352" t="s">
        <v>297</v>
      </c>
      <c r="B120" s="352" t="s">
        <v>18</v>
      </c>
      <c r="C120" s="353">
        <v>201589</v>
      </c>
      <c r="D120" s="353">
        <v>201589</v>
      </c>
      <c r="E120"/>
      <c r="F120" s="15">
        <f t="shared" si="0"/>
        <v>0</v>
      </c>
      <c r="G120" s="354">
        <f t="shared" si="1"/>
        <v>0</v>
      </c>
      <c r="H120" s="147" t="s">
        <v>60</v>
      </c>
      <c r="I120"/>
      <c r="J120"/>
      <c r="K120"/>
    </row>
    <row r="121" spans="1:11" x14ac:dyDescent="0.2">
      <c r="A121" s="352" t="s">
        <v>297</v>
      </c>
      <c r="B121" s="352" t="s">
        <v>19</v>
      </c>
      <c r="C121" s="353">
        <v>21444</v>
      </c>
      <c r="D121" s="353">
        <v>9619</v>
      </c>
      <c r="E121"/>
      <c r="F121" s="15">
        <f t="shared" si="0"/>
        <v>11825</v>
      </c>
      <c r="G121" s="74">
        <f t="shared" si="1"/>
        <v>55.143629919791081</v>
      </c>
      <c r="H121" s="16" t="s">
        <v>60</v>
      </c>
      <c r="I121"/>
      <c r="J121" s="74">
        <f>(G120*C120+G126*C126+G138*C138)/(C120+C126+C138)</f>
        <v>0.20317109444205153</v>
      </c>
      <c r="K121" s="16" t="s">
        <v>60</v>
      </c>
    </row>
    <row r="122" spans="1:11" x14ac:dyDescent="0.2">
      <c r="A122" s="352" t="s">
        <v>297</v>
      </c>
      <c r="B122" s="352" t="s">
        <v>20</v>
      </c>
      <c r="C122" s="353">
        <v>94548</v>
      </c>
      <c r="D122" s="353">
        <v>31046</v>
      </c>
      <c r="E122"/>
      <c r="F122" s="15">
        <f t="shared" si="0"/>
        <v>63502</v>
      </c>
      <c r="G122" s="74">
        <f t="shared" si="1"/>
        <v>67.163768667766632</v>
      </c>
      <c r="H122" s="16" t="s">
        <v>60</v>
      </c>
      <c r="I122"/>
      <c r="J122"/>
      <c r="K122"/>
    </row>
    <row r="123" spans="1:11" x14ac:dyDescent="0.2">
      <c r="A123" s="352" t="s">
        <v>297</v>
      </c>
      <c r="B123" s="352" t="s">
        <v>21</v>
      </c>
      <c r="C123" s="353">
        <v>96459</v>
      </c>
      <c r="D123" s="353">
        <v>48487</v>
      </c>
      <c r="E123"/>
      <c r="F123" s="15">
        <f t="shared" si="0"/>
        <v>47972</v>
      </c>
      <c r="G123" s="74">
        <f t="shared" si="1"/>
        <v>49.733047201401632</v>
      </c>
      <c r="H123" s="16" t="s">
        <v>60</v>
      </c>
      <c r="I123"/>
      <c r="J123"/>
      <c r="K123"/>
    </row>
    <row r="124" spans="1:11" x14ac:dyDescent="0.2">
      <c r="A124" s="352" t="s">
        <v>297</v>
      </c>
      <c r="B124" s="352" t="s">
        <v>315</v>
      </c>
      <c r="C124" s="353">
        <v>2791300</v>
      </c>
      <c r="D124" s="353">
        <v>2762167</v>
      </c>
      <c r="E124"/>
      <c r="F124" s="15">
        <f t="shared" si="0"/>
        <v>29133</v>
      </c>
      <c r="G124" s="74">
        <f t="shared" si="1"/>
        <v>1.0437072331888368</v>
      </c>
      <c r="H124" s="16" t="s">
        <v>60</v>
      </c>
      <c r="I124"/>
      <c r="J124"/>
      <c r="K124"/>
    </row>
    <row r="125" spans="1:11" x14ac:dyDescent="0.2">
      <c r="A125" s="352" t="s">
        <v>297</v>
      </c>
      <c r="B125" s="352" t="s">
        <v>22</v>
      </c>
      <c r="C125" s="353">
        <v>13745</v>
      </c>
      <c r="D125" s="353">
        <v>12299</v>
      </c>
      <c r="E125"/>
      <c r="F125" s="15">
        <f t="shared" si="0"/>
        <v>1446</v>
      </c>
      <c r="G125" s="74">
        <f t="shared" si="1"/>
        <v>10.520189159694434</v>
      </c>
      <c r="H125" s="16" t="s">
        <v>60</v>
      </c>
      <c r="I125"/>
      <c r="J125"/>
      <c r="K125"/>
    </row>
    <row r="126" spans="1:11" x14ac:dyDescent="0.2">
      <c r="A126" s="352" t="s">
        <v>297</v>
      </c>
      <c r="B126" s="352" t="s">
        <v>23</v>
      </c>
      <c r="C126" s="353">
        <v>76388</v>
      </c>
      <c r="D126" s="353">
        <v>75638</v>
      </c>
      <c r="E126"/>
      <c r="F126" s="15">
        <f t="shared" si="0"/>
        <v>750</v>
      </c>
      <c r="G126" s="354">
        <f t="shared" ref="G126:G175" si="2">F126/C126*100</f>
        <v>0.98182960674451492</v>
      </c>
      <c r="H126" s="147" t="s">
        <v>60</v>
      </c>
      <c r="I126"/>
      <c r="J126"/>
      <c r="K126"/>
    </row>
    <row r="127" spans="1:11" x14ac:dyDescent="0.2">
      <c r="A127" s="352" t="s">
        <v>297</v>
      </c>
      <c r="B127" s="352" t="s">
        <v>24</v>
      </c>
      <c r="C127" s="353">
        <v>43000</v>
      </c>
      <c r="D127" s="353">
        <v>28350</v>
      </c>
      <c r="E127"/>
      <c r="F127" s="15">
        <f t="shared" si="0"/>
        <v>14650</v>
      </c>
      <c r="G127" s="74">
        <f t="shared" si="2"/>
        <v>34.069767441860463</v>
      </c>
      <c r="H127" s="16" t="s">
        <v>60</v>
      </c>
      <c r="I127"/>
      <c r="J127"/>
      <c r="K127"/>
    </row>
    <row r="128" spans="1:11" x14ac:dyDescent="0.2">
      <c r="A128" s="352" t="s">
        <v>297</v>
      </c>
      <c r="B128" s="352" t="s">
        <v>25</v>
      </c>
      <c r="C128" s="353">
        <v>481647</v>
      </c>
      <c r="D128" s="353">
        <v>301389</v>
      </c>
      <c r="E128"/>
      <c r="F128" s="15">
        <f t="shared" ref="F128:F175" si="3">C128-D128</f>
        <v>180258</v>
      </c>
      <c r="G128" s="74">
        <f t="shared" si="2"/>
        <v>37.425334321608979</v>
      </c>
      <c r="H128" s="16" t="s">
        <v>60</v>
      </c>
      <c r="I128"/>
      <c r="J128"/>
      <c r="K128"/>
    </row>
    <row r="129" spans="1:11" x14ac:dyDescent="0.2">
      <c r="A129" s="352" t="s">
        <v>297</v>
      </c>
      <c r="B129" s="352" t="s">
        <v>26</v>
      </c>
      <c r="C129" s="353">
        <v>2418348</v>
      </c>
      <c r="D129" s="353">
        <v>822214</v>
      </c>
      <c r="E129"/>
      <c r="F129" s="15">
        <f t="shared" si="3"/>
        <v>1596134</v>
      </c>
      <c r="G129" s="74">
        <f t="shared" si="2"/>
        <v>66.001005645175965</v>
      </c>
      <c r="H129" s="16" t="s">
        <v>60</v>
      </c>
      <c r="I129"/>
      <c r="J129"/>
      <c r="K129"/>
    </row>
    <row r="130" spans="1:11" x14ac:dyDescent="0.2">
      <c r="A130" s="352" t="s">
        <v>297</v>
      </c>
      <c r="B130" s="352" t="s">
        <v>28</v>
      </c>
      <c r="C130" s="353">
        <v>2305930</v>
      </c>
      <c r="D130" s="353">
        <v>1356677</v>
      </c>
      <c r="E130"/>
      <c r="F130" s="15">
        <f t="shared" si="3"/>
        <v>949253</v>
      </c>
      <c r="G130" s="74">
        <f t="shared" si="2"/>
        <v>41.16573356519929</v>
      </c>
      <c r="H130" s="16" t="s">
        <v>60</v>
      </c>
      <c r="I130"/>
      <c r="J130"/>
      <c r="K130"/>
    </row>
    <row r="131" spans="1:11" x14ac:dyDescent="0.2">
      <c r="A131" s="352" t="s">
        <v>297</v>
      </c>
      <c r="B131" s="352" t="s">
        <v>29</v>
      </c>
      <c r="C131" s="353">
        <v>7419</v>
      </c>
      <c r="D131" s="353">
        <v>772</v>
      </c>
      <c r="E131"/>
      <c r="F131" s="15">
        <f t="shared" si="3"/>
        <v>6647</v>
      </c>
      <c r="G131" s="74">
        <f t="shared" si="2"/>
        <v>89.594284944062537</v>
      </c>
      <c r="H131" s="16" t="s">
        <v>60</v>
      </c>
      <c r="I131"/>
      <c r="J131"/>
      <c r="K131"/>
    </row>
    <row r="132" spans="1:11" x14ac:dyDescent="0.2">
      <c r="A132" s="352" t="s">
        <v>297</v>
      </c>
      <c r="B132" s="352" t="s">
        <v>30</v>
      </c>
      <c r="C132" s="353">
        <v>53262</v>
      </c>
      <c r="D132" s="353">
        <v>19951</v>
      </c>
      <c r="E132"/>
      <c r="F132" s="15">
        <f t="shared" si="3"/>
        <v>33311</v>
      </c>
      <c r="G132" s="74">
        <f t="shared" si="2"/>
        <v>62.541774623559007</v>
      </c>
      <c r="H132" s="16" t="s">
        <v>60</v>
      </c>
      <c r="I132"/>
      <c r="J132"/>
      <c r="K132"/>
    </row>
    <row r="133" spans="1:11" x14ac:dyDescent="0.2">
      <c r="A133" s="352" t="s">
        <v>297</v>
      </c>
      <c r="B133" s="352" t="s">
        <v>31</v>
      </c>
      <c r="C133" s="353">
        <v>59527</v>
      </c>
      <c r="D133" s="353">
        <v>30208</v>
      </c>
      <c r="E133"/>
      <c r="F133" s="15">
        <f t="shared" si="3"/>
        <v>29319</v>
      </c>
      <c r="G133" s="74">
        <f t="shared" si="2"/>
        <v>49.253280024190701</v>
      </c>
      <c r="H133" s="16" t="s">
        <v>60</v>
      </c>
      <c r="I133"/>
      <c r="J133"/>
      <c r="K133"/>
    </row>
    <row r="134" spans="1:11" x14ac:dyDescent="0.2">
      <c r="A134" s="352" t="s">
        <v>297</v>
      </c>
      <c r="B134" s="352" t="s">
        <v>32</v>
      </c>
      <c r="C134" s="353">
        <v>10443</v>
      </c>
      <c r="D134" s="353">
        <v>10345</v>
      </c>
      <c r="E134"/>
      <c r="F134" s="15">
        <f t="shared" si="3"/>
        <v>98</v>
      </c>
      <c r="G134" s="74">
        <f t="shared" si="2"/>
        <v>0.93842765488844204</v>
      </c>
      <c r="H134" s="16" t="s">
        <v>60</v>
      </c>
      <c r="I134"/>
      <c r="J134"/>
      <c r="K134"/>
    </row>
    <row r="135" spans="1:11" x14ac:dyDescent="0.2">
      <c r="A135" s="352" t="s">
        <v>297</v>
      </c>
      <c r="B135" s="352" t="s">
        <v>33</v>
      </c>
      <c r="C135" s="353">
        <v>181896</v>
      </c>
      <c r="D135" s="353">
        <v>65427</v>
      </c>
      <c r="E135"/>
      <c r="F135" s="15">
        <f t="shared" si="3"/>
        <v>116469</v>
      </c>
      <c r="G135" s="74">
        <f t="shared" si="2"/>
        <v>64.030544926771341</v>
      </c>
      <c r="H135" s="16" t="s">
        <v>60</v>
      </c>
      <c r="I135"/>
      <c r="J135"/>
      <c r="K135"/>
    </row>
    <row r="136" spans="1:11" x14ac:dyDescent="0.2">
      <c r="A136" s="352" t="s">
        <v>297</v>
      </c>
      <c r="B136" s="352" t="s">
        <v>34</v>
      </c>
      <c r="C136" s="353">
        <v>4712</v>
      </c>
      <c r="D136" s="353">
        <v>134</v>
      </c>
      <c r="E136"/>
      <c r="F136" s="15">
        <f t="shared" si="3"/>
        <v>4578</v>
      </c>
      <c r="G136" s="74">
        <f t="shared" si="2"/>
        <v>97.156196943972844</v>
      </c>
      <c r="H136" s="16" t="s">
        <v>60</v>
      </c>
      <c r="I136"/>
      <c r="J136"/>
      <c r="K136"/>
    </row>
    <row r="137" spans="1:11" x14ac:dyDescent="0.2">
      <c r="A137" s="352" t="s">
        <v>297</v>
      </c>
      <c r="B137" s="352" t="s">
        <v>35</v>
      </c>
      <c r="C137" s="353">
        <v>442000</v>
      </c>
      <c r="D137" s="353">
        <v>437400</v>
      </c>
      <c r="E137"/>
      <c r="F137" s="15">
        <f t="shared" si="3"/>
        <v>4600</v>
      </c>
      <c r="G137" s="74">
        <f t="shared" si="2"/>
        <v>1.0407239819004523</v>
      </c>
      <c r="H137" s="16" t="s">
        <v>60</v>
      </c>
      <c r="I137"/>
      <c r="J137"/>
      <c r="K137"/>
    </row>
    <row r="138" spans="1:11" x14ac:dyDescent="0.2">
      <c r="A138" s="352" t="s">
        <v>297</v>
      </c>
      <c r="B138" s="352" t="s">
        <v>36</v>
      </c>
      <c r="C138" s="353">
        <v>91170</v>
      </c>
      <c r="D138" s="353">
        <v>91170</v>
      </c>
      <c r="E138"/>
      <c r="F138" s="15">
        <f t="shared" si="3"/>
        <v>0</v>
      </c>
      <c r="G138" s="354">
        <f t="shared" si="2"/>
        <v>0</v>
      </c>
      <c r="H138" s="147" t="s">
        <v>60</v>
      </c>
      <c r="I138"/>
      <c r="J138"/>
      <c r="K138"/>
    </row>
    <row r="139" spans="1:11" x14ac:dyDescent="0.2">
      <c r="A139" s="352" t="s">
        <v>297</v>
      </c>
      <c r="B139" s="352" t="s">
        <v>37</v>
      </c>
      <c r="C139" s="353">
        <v>1080832</v>
      </c>
      <c r="D139" s="353">
        <v>785526</v>
      </c>
      <c r="E139"/>
      <c r="F139" s="15">
        <f t="shared" si="3"/>
        <v>295306</v>
      </c>
      <c r="G139" s="74">
        <f t="shared" si="2"/>
        <v>27.322100011842725</v>
      </c>
      <c r="H139" s="16" t="s">
        <v>60</v>
      </c>
      <c r="I139"/>
      <c r="J139"/>
      <c r="K139"/>
    </row>
    <row r="140" spans="1:11" x14ac:dyDescent="0.2">
      <c r="A140" s="352" t="s">
        <v>297</v>
      </c>
      <c r="B140" s="352" t="s">
        <v>38</v>
      </c>
      <c r="C140" s="353">
        <v>54502</v>
      </c>
      <c r="D140" s="353">
        <v>42749</v>
      </c>
      <c r="E140"/>
      <c r="F140" s="15">
        <f t="shared" si="3"/>
        <v>11753</v>
      </c>
      <c r="G140" s="74">
        <f t="shared" si="2"/>
        <v>21.564346262522477</v>
      </c>
      <c r="H140" s="16" t="s">
        <v>60</v>
      </c>
      <c r="I140"/>
      <c r="J140"/>
      <c r="K140"/>
    </row>
    <row r="141" spans="1:11" x14ac:dyDescent="0.2">
      <c r="A141" s="352" t="s">
        <v>297</v>
      </c>
      <c r="B141" s="352" t="s">
        <v>39</v>
      </c>
      <c r="C141" s="353">
        <v>225540</v>
      </c>
      <c r="D141" s="353">
        <v>101950</v>
      </c>
      <c r="E141"/>
      <c r="F141" s="15">
        <f t="shared" si="3"/>
        <v>123590</v>
      </c>
      <c r="G141" s="74">
        <f t="shared" si="2"/>
        <v>54.797375188436639</v>
      </c>
      <c r="H141" s="16" t="s">
        <v>60</v>
      </c>
      <c r="I141"/>
      <c r="J141"/>
      <c r="K141"/>
    </row>
    <row r="142" spans="1:11" x14ac:dyDescent="0.2">
      <c r="A142" s="352" t="s">
        <v>297</v>
      </c>
      <c r="B142" s="352" t="s">
        <v>40</v>
      </c>
      <c r="C142" s="353">
        <v>32843</v>
      </c>
      <c r="D142" s="353">
        <v>13425</v>
      </c>
      <c r="E142"/>
      <c r="F142" s="15">
        <f t="shared" si="3"/>
        <v>19418</v>
      </c>
      <c r="G142" s="74">
        <f t="shared" si="2"/>
        <v>59.123709770727395</v>
      </c>
      <c r="H142" s="16" t="s">
        <v>60</v>
      </c>
      <c r="I142"/>
      <c r="J142"/>
      <c r="K142"/>
    </row>
    <row r="143" spans="1:11" x14ac:dyDescent="0.2">
      <c r="A143" s="352" t="s">
        <v>297</v>
      </c>
      <c r="B143" s="352" t="s">
        <v>41</v>
      </c>
      <c r="C143" s="353">
        <v>50843</v>
      </c>
      <c r="D143" s="353">
        <v>15370</v>
      </c>
      <c r="E143"/>
      <c r="F143" s="15">
        <f t="shared" si="3"/>
        <v>35473</v>
      </c>
      <c r="G143" s="74">
        <f t="shared" si="2"/>
        <v>69.769683142222135</v>
      </c>
      <c r="H143" s="16" t="s">
        <v>60</v>
      </c>
      <c r="I143"/>
      <c r="J143"/>
      <c r="K143"/>
    </row>
    <row r="144" spans="1:11" x14ac:dyDescent="0.2">
      <c r="A144" s="352" t="s">
        <v>297</v>
      </c>
      <c r="B144" s="352" t="s">
        <v>42</v>
      </c>
      <c r="C144" s="353">
        <v>215934</v>
      </c>
      <c r="D144" s="353">
        <v>209240</v>
      </c>
      <c r="E144"/>
      <c r="F144" s="15">
        <f t="shared" si="3"/>
        <v>6694</v>
      </c>
      <c r="G144" s="74">
        <f t="shared" si="2"/>
        <v>3.1000213028054868</v>
      </c>
      <c r="H144" s="16" t="s">
        <v>60</v>
      </c>
      <c r="I144"/>
      <c r="J144"/>
      <c r="K144"/>
    </row>
    <row r="145" spans="1:11" x14ac:dyDescent="0.2">
      <c r="A145" s="352" t="s">
        <v>297</v>
      </c>
      <c r="B145" s="352" t="s">
        <v>43</v>
      </c>
      <c r="C145" s="353">
        <v>301395</v>
      </c>
      <c r="D145" s="353">
        <v>301953</v>
      </c>
      <c r="E145"/>
      <c r="F145" s="15"/>
      <c r="G145" s="74"/>
      <c r="H145" s="16"/>
      <c r="I145"/>
      <c r="J145"/>
      <c r="K145"/>
    </row>
    <row r="146" spans="1:11" x14ac:dyDescent="0.2">
      <c r="A146" s="352" t="s">
        <v>297</v>
      </c>
      <c r="B146" s="352" t="s">
        <v>44</v>
      </c>
      <c r="C146" s="353">
        <v>1023939</v>
      </c>
      <c r="D146" s="353">
        <v>600718</v>
      </c>
      <c r="E146"/>
      <c r="F146" s="15">
        <f t="shared" si="3"/>
        <v>423221</v>
      </c>
      <c r="G146" s="74">
        <f t="shared" si="2"/>
        <v>41.332637979410883</v>
      </c>
      <c r="H146" s="16" t="s">
        <v>60</v>
      </c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 s="352" t="s">
        <v>143</v>
      </c>
      <c r="B148" s="352" t="s">
        <v>17</v>
      </c>
      <c r="C148" s="353">
        <v>4612009</v>
      </c>
      <c r="D148" s="353">
        <v>3360949</v>
      </c>
      <c r="E148"/>
      <c r="F148" s="15">
        <f t="shared" si="3"/>
        <v>1251060</v>
      </c>
      <c r="G148" s="74">
        <f t="shared" si="2"/>
        <v>27.126139606405797</v>
      </c>
      <c r="H148" s="16" t="s">
        <v>60</v>
      </c>
      <c r="I148"/>
      <c r="J148" s="16" t="s">
        <v>314</v>
      </c>
      <c r="K148"/>
    </row>
    <row r="149" spans="1:11" x14ac:dyDescent="0.2">
      <c r="A149" s="352" t="s">
        <v>143</v>
      </c>
      <c r="B149" s="352" t="s">
        <v>18</v>
      </c>
      <c r="C149" s="353">
        <v>127584</v>
      </c>
      <c r="D149" s="353">
        <v>124285</v>
      </c>
      <c r="E149"/>
      <c r="F149" s="15">
        <f t="shared" si="3"/>
        <v>3299</v>
      </c>
      <c r="G149" s="354">
        <f t="shared" si="2"/>
        <v>2.5857474291447207</v>
      </c>
      <c r="H149" s="147" t="s">
        <v>60</v>
      </c>
      <c r="I149"/>
      <c r="J149"/>
      <c r="K149"/>
    </row>
    <row r="150" spans="1:11" x14ac:dyDescent="0.2">
      <c r="A150" s="352" t="s">
        <v>143</v>
      </c>
      <c r="B150" s="352" t="s">
        <v>19</v>
      </c>
      <c r="C150" s="353">
        <v>13414</v>
      </c>
      <c r="D150" s="353">
        <v>9381</v>
      </c>
      <c r="E150"/>
      <c r="F150" s="15">
        <f t="shared" si="3"/>
        <v>4033</v>
      </c>
      <c r="G150" s="74">
        <f t="shared" si="2"/>
        <v>30.065603101237514</v>
      </c>
      <c r="H150" s="16" t="s">
        <v>60</v>
      </c>
      <c r="I150"/>
      <c r="J150" s="74">
        <f>(G149*C149+G153*C153+G166*C166)/(C149+C153+C166)</f>
        <v>6.4031808695131165</v>
      </c>
      <c r="K150" s="16" t="s">
        <v>60</v>
      </c>
    </row>
    <row r="151" spans="1:11" x14ac:dyDescent="0.2">
      <c r="A151" s="352" t="s">
        <v>143</v>
      </c>
      <c r="B151" s="352" t="s">
        <v>20</v>
      </c>
      <c r="C151" s="353">
        <v>51282</v>
      </c>
      <c r="D151" s="353">
        <v>34850</v>
      </c>
      <c r="E151"/>
      <c r="F151" s="15">
        <f t="shared" si="3"/>
        <v>16432</v>
      </c>
      <c r="G151" s="74">
        <f t="shared" si="2"/>
        <v>32.04243204243204</v>
      </c>
      <c r="H151" s="16" t="s">
        <v>60</v>
      </c>
      <c r="I151"/>
      <c r="J151"/>
      <c r="K151"/>
    </row>
    <row r="152" spans="1:11" x14ac:dyDescent="0.2">
      <c r="A152" s="352" t="s">
        <v>143</v>
      </c>
      <c r="B152" s="352" t="s">
        <v>21</v>
      </c>
      <c r="C152" s="353">
        <v>43371</v>
      </c>
      <c r="D152" s="353">
        <v>34992</v>
      </c>
      <c r="E152"/>
      <c r="F152" s="15">
        <f t="shared" si="3"/>
        <v>8379</v>
      </c>
      <c r="G152" s="74">
        <f t="shared" si="2"/>
        <v>19.319360863249639</v>
      </c>
      <c r="H152" s="16" t="s">
        <v>60</v>
      </c>
      <c r="I152"/>
      <c r="J152"/>
      <c r="K152"/>
    </row>
    <row r="153" spans="1:11" x14ac:dyDescent="0.2">
      <c r="A153" s="352" t="s">
        <v>143</v>
      </c>
      <c r="B153" s="352" t="s">
        <v>315</v>
      </c>
      <c r="C153" s="353">
        <v>881100</v>
      </c>
      <c r="D153" s="353">
        <v>824453</v>
      </c>
      <c r="E153"/>
      <c r="F153" s="15">
        <f t="shared" si="3"/>
        <v>56647</v>
      </c>
      <c r="G153" s="354">
        <f t="shared" si="2"/>
        <v>6.4291226875496541</v>
      </c>
      <c r="H153" s="147" t="s">
        <v>60</v>
      </c>
      <c r="I153"/>
      <c r="J153"/>
      <c r="K153"/>
    </row>
    <row r="154" spans="1:11" x14ac:dyDescent="0.2">
      <c r="A154" s="352" t="s">
        <v>143</v>
      </c>
      <c r="B154" s="352" t="s">
        <v>22</v>
      </c>
      <c r="C154" s="353">
        <v>29687</v>
      </c>
      <c r="D154" s="353">
        <v>18664</v>
      </c>
      <c r="E154"/>
      <c r="F154" s="15">
        <f t="shared" si="3"/>
        <v>11023</v>
      </c>
      <c r="G154" s="74">
        <f t="shared" si="2"/>
        <v>37.130730622831543</v>
      </c>
      <c r="H154" s="16" t="s">
        <v>60</v>
      </c>
      <c r="I154"/>
      <c r="J154"/>
      <c r="K154"/>
    </row>
    <row r="155" spans="1:11" x14ac:dyDescent="0.2">
      <c r="A155" s="352" t="s">
        <v>143</v>
      </c>
      <c r="B155" s="352" t="s">
        <v>23</v>
      </c>
      <c r="C155" s="353">
        <v>57261</v>
      </c>
      <c r="D155" s="353">
        <v>38145</v>
      </c>
      <c r="E155"/>
      <c r="F155" s="15">
        <f t="shared" si="3"/>
        <v>19116</v>
      </c>
      <c r="G155" s="74">
        <f t="shared" si="2"/>
        <v>33.383978624194476</v>
      </c>
      <c r="H155" s="16" t="s">
        <v>60</v>
      </c>
      <c r="I155"/>
      <c r="J155"/>
      <c r="K155"/>
    </row>
    <row r="156" spans="1:11" x14ac:dyDescent="0.2">
      <c r="A156" s="352" t="s">
        <v>143</v>
      </c>
      <c r="B156" s="352" t="s">
        <v>24</v>
      </c>
      <c r="C156" s="353">
        <v>119480</v>
      </c>
      <c r="D156" s="353">
        <v>52700</v>
      </c>
      <c r="E156"/>
      <c r="F156" s="15">
        <f t="shared" si="3"/>
        <v>66780</v>
      </c>
      <c r="G156" s="74">
        <f t="shared" si="2"/>
        <v>55.89219953130231</v>
      </c>
      <c r="H156" s="16" t="s">
        <v>60</v>
      </c>
      <c r="I156"/>
      <c r="J156"/>
      <c r="K156"/>
    </row>
    <row r="157" spans="1:11" x14ac:dyDescent="0.2">
      <c r="A157" s="352" t="s">
        <v>143</v>
      </c>
      <c r="B157" s="352" t="s">
        <v>25</v>
      </c>
      <c r="C157" s="353">
        <v>426307</v>
      </c>
      <c r="D157" s="353">
        <v>320726</v>
      </c>
      <c r="E157"/>
      <c r="F157" s="15">
        <f t="shared" si="3"/>
        <v>105581</v>
      </c>
      <c r="G157" s="74">
        <f t="shared" si="2"/>
        <v>24.766424196647016</v>
      </c>
      <c r="H157" s="16" t="s">
        <v>60</v>
      </c>
      <c r="I157"/>
      <c r="J157"/>
      <c r="K157"/>
    </row>
    <row r="158" spans="1:11" x14ac:dyDescent="0.2">
      <c r="A158" s="352" t="s">
        <v>143</v>
      </c>
      <c r="B158" s="352" t="s">
        <v>26</v>
      </c>
      <c r="C158" s="353">
        <v>592563</v>
      </c>
      <c r="D158" s="353">
        <v>440651</v>
      </c>
      <c r="E158"/>
      <c r="F158" s="15">
        <f t="shared" si="3"/>
        <v>151912</v>
      </c>
      <c r="G158" s="74">
        <f t="shared" si="2"/>
        <v>25.636430219234075</v>
      </c>
      <c r="H158" s="16" t="s">
        <v>60</v>
      </c>
      <c r="I158"/>
      <c r="J158"/>
      <c r="K158"/>
    </row>
    <row r="159" spans="1:11" x14ac:dyDescent="0.2">
      <c r="A159" s="352" t="s">
        <v>143</v>
      </c>
      <c r="B159" s="352" t="s">
        <v>28</v>
      </c>
      <c r="C159" s="353">
        <v>554533</v>
      </c>
      <c r="D159" s="353">
        <v>396948</v>
      </c>
      <c r="E159"/>
      <c r="F159" s="15">
        <f t="shared" si="3"/>
        <v>157585</v>
      </c>
      <c r="G159" s="74">
        <f t="shared" si="2"/>
        <v>28.417605444581294</v>
      </c>
      <c r="H159" s="16" t="s">
        <v>60</v>
      </c>
      <c r="I159"/>
      <c r="J159"/>
      <c r="K159"/>
    </row>
    <row r="160" spans="1:11" x14ac:dyDescent="0.2">
      <c r="A160" s="352" t="s">
        <v>143</v>
      </c>
      <c r="B160" s="352" t="s">
        <v>29</v>
      </c>
      <c r="C160" s="353">
        <v>5288</v>
      </c>
      <c r="D160" s="353">
        <v>4697</v>
      </c>
      <c r="E160"/>
      <c r="F160" s="15">
        <f t="shared" si="3"/>
        <v>591</v>
      </c>
      <c r="G160" s="74">
        <f t="shared" si="2"/>
        <v>11.17624810892587</v>
      </c>
      <c r="H160" s="16" t="s">
        <v>60</v>
      </c>
      <c r="I160"/>
      <c r="J160"/>
      <c r="K160"/>
    </row>
    <row r="161" spans="1:11" x14ac:dyDescent="0.2">
      <c r="A161" s="352" t="s">
        <v>143</v>
      </c>
      <c r="B161" s="352" t="s">
        <v>30</v>
      </c>
      <c r="C161" s="353">
        <v>10664</v>
      </c>
      <c r="D161" s="353">
        <v>8435</v>
      </c>
      <c r="E161"/>
      <c r="F161" s="15">
        <f t="shared" si="3"/>
        <v>2229</v>
      </c>
      <c r="G161" s="74">
        <f t="shared" si="2"/>
        <v>20.902100525131285</v>
      </c>
      <c r="H161" s="16" t="s">
        <v>60</v>
      </c>
      <c r="I161"/>
      <c r="J161"/>
      <c r="K161"/>
    </row>
    <row r="162" spans="1:11" x14ac:dyDescent="0.2">
      <c r="A162" s="352" t="s">
        <v>143</v>
      </c>
      <c r="B162" s="352" t="s">
        <v>31</v>
      </c>
      <c r="C162" s="353">
        <v>13093</v>
      </c>
      <c r="D162" s="353">
        <v>8958</v>
      </c>
      <c r="E162"/>
      <c r="F162" s="15">
        <f t="shared" si="3"/>
        <v>4135</v>
      </c>
      <c r="G162" s="74">
        <f t="shared" si="2"/>
        <v>31.581761246467575</v>
      </c>
      <c r="H162" s="16" t="s">
        <v>60</v>
      </c>
      <c r="I162"/>
      <c r="J162"/>
      <c r="K162"/>
    </row>
    <row r="163" spans="1:11" x14ac:dyDescent="0.2">
      <c r="A163" s="352" t="s">
        <v>143</v>
      </c>
      <c r="B163" s="352" t="s">
        <v>32</v>
      </c>
      <c r="C163" s="353">
        <v>4644</v>
      </c>
      <c r="D163" s="353">
        <v>3826</v>
      </c>
      <c r="E163"/>
      <c r="F163" s="15">
        <f t="shared" si="3"/>
        <v>818</v>
      </c>
      <c r="G163" s="74">
        <f t="shared" si="2"/>
        <v>17.614125753660637</v>
      </c>
      <c r="H163" s="16" t="s">
        <v>60</v>
      </c>
      <c r="I163"/>
      <c r="J163"/>
      <c r="K163"/>
    </row>
    <row r="164" spans="1:11" x14ac:dyDescent="0.2">
      <c r="A164" s="352" t="s">
        <v>143</v>
      </c>
      <c r="B164" s="352" t="s">
        <v>33</v>
      </c>
      <c r="C164" s="353">
        <v>60165</v>
      </c>
      <c r="D164" s="353">
        <v>50254</v>
      </c>
      <c r="E164"/>
      <c r="F164" s="15">
        <f t="shared" si="3"/>
        <v>9911</v>
      </c>
      <c r="G164" s="74">
        <f t="shared" si="2"/>
        <v>16.473032493974902</v>
      </c>
      <c r="H164" s="16" t="s">
        <v>60</v>
      </c>
      <c r="I164"/>
      <c r="J164"/>
      <c r="K164"/>
    </row>
    <row r="165" spans="1:11" x14ac:dyDescent="0.2">
      <c r="A165" s="352" t="s">
        <v>143</v>
      </c>
      <c r="B165" s="352" t="s">
        <v>34</v>
      </c>
      <c r="C165" s="353">
        <v>4000</v>
      </c>
      <c r="D165" s="353">
        <v>1208</v>
      </c>
      <c r="E165"/>
      <c r="F165" s="15">
        <f t="shared" si="3"/>
        <v>2792</v>
      </c>
      <c r="G165" s="74">
        <f t="shared" si="2"/>
        <v>69.8</v>
      </c>
      <c r="H165" s="16" t="s">
        <v>60</v>
      </c>
      <c r="I165"/>
      <c r="J165"/>
      <c r="K165"/>
    </row>
    <row r="166" spans="1:11" x14ac:dyDescent="0.2">
      <c r="A166" s="352" t="s">
        <v>143</v>
      </c>
      <c r="B166" s="352" t="s">
        <v>35</v>
      </c>
      <c r="C166" s="353">
        <v>193000</v>
      </c>
      <c r="D166" s="353">
        <v>176000</v>
      </c>
      <c r="E166"/>
      <c r="F166" s="15">
        <f t="shared" si="3"/>
        <v>17000</v>
      </c>
      <c r="G166" s="354">
        <f t="shared" si="2"/>
        <v>8.8082901554404138</v>
      </c>
      <c r="H166" s="147" t="s">
        <v>60</v>
      </c>
      <c r="I166"/>
      <c r="J166"/>
      <c r="K166"/>
    </row>
    <row r="167" spans="1:11" x14ac:dyDescent="0.2">
      <c r="A167" s="352" t="s">
        <v>143</v>
      </c>
      <c r="B167" s="352" t="s">
        <v>36</v>
      </c>
      <c r="C167" s="353">
        <v>62515</v>
      </c>
      <c r="D167" s="353">
        <v>38846</v>
      </c>
      <c r="E167"/>
      <c r="F167" s="15">
        <f t="shared" si="3"/>
        <v>23669</v>
      </c>
      <c r="G167" s="74">
        <f t="shared" si="2"/>
        <v>37.861313284811644</v>
      </c>
      <c r="H167" s="16" t="s">
        <v>60</v>
      </c>
      <c r="I167"/>
      <c r="J167"/>
      <c r="K167"/>
    </row>
    <row r="168" spans="1:11" x14ac:dyDescent="0.2">
      <c r="A168" s="352" t="s">
        <v>143</v>
      </c>
      <c r="B168" s="352" t="s">
        <v>37</v>
      </c>
      <c r="C168" s="353">
        <v>247118</v>
      </c>
      <c r="D168" s="353">
        <v>111374</v>
      </c>
      <c r="E168"/>
      <c r="F168" s="15">
        <f t="shared" si="3"/>
        <v>135744</v>
      </c>
      <c r="G168" s="74">
        <f t="shared" si="2"/>
        <v>54.930842755282903</v>
      </c>
      <c r="H168" s="16" t="s">
        <v>60</v>
      </c>
      <c r="I168"/>
      <c r="J168"/>
      <c r="K168"/>
    </row>
    <row r="169" spans="1:11" x14ac:dyDescent="0.2">
      <c r="A169" s="352" t="s">
        <v>143</v>
      </c>
      <c r="B169" s="352" t="s">
        <v>38</v>
      </c>
      <c r="C169" s="353">
        <v>93000</v>
      </c>
      <c r="D169" s="353">
        <v>66000</v>
      </c>
      <c r="E169"/>
      <c r="F169" s="15">
        <f t="shared" si="3"/>
        <v>27000</v>
      </c>
      <c r="G169" s="74">
        <f t="shared" si="2"/>
        <v>29.032258064516132</v>
      </c>
      <c r="H169" s="16" t="s">
        <v>60</v>
      </c>
      <c r="I169"/>
      <c r="J169"/>
      <c r="K169"/>
    </row>
    <row r="170" spans="1:11" x14ac:dyDescent="0.2">
      <c r="A170" s="352" t="s">
        <v>143</v>
      </c>
      <c r="B170" s="352" t="s">
        <v>39</v>
      </c>
      <c r="C170" s="353">
        <v>55230</v>
      </c>
      <c r="D170" s="353">
        <v>34410</v>
      </c>
      <c r="E170"/>
      <c r="F170" s="15">
        <f t="shared" si="3"/>
        <v>20820</v>
      </c>
      <c r="G170" s="74">
        <f t="shared" si="2"/>
        <v>37.696903856599675</v>
      </c>
      <c r="H170" s="16" t="s">
        <v>60</v>
      </c>
      <c r="I170"/>
      <c r="J170"/>
      <c r="K170"/>
    </row>
    <row r="171" spans="1:11" x14ac:dyDescent="0.2">
      <c r="A171" s="352" t="s">
        <v>143</v>
      </c>
      <c r="B171" s="352" t="s">
        <v>40</v>
      </c>
      <c r="C171" s="353">
        <v>15043</v>
      </c>
      <c r="D171" s="353">
        <v>6075</v>
      </c>
      <c r="E171"/>
      <c r="F171" s="15">
        <f t="shared" si="3"/>
        <v>8968</v>
      </c>
      <c r="G171" s="74">
        <f t="shared" si="2"/>
        <v>59.615768131356774</v>
      </c>
      <c r="H171" s="16" t="s">
        <v>60</v>
      </c>
      <c r="I171"/>
      <c r="J171"/>
      <c r="K171"/>
    </row>
    <row r="172" spans="1:11" x14ac:dyDescent="0.2">
      <c r="A172" s="352" t="s">
        <v>143</v>
      </c>
      <c r="B172" s="352" t="s">
        <v>41</v>
      </c>
      <c r="C172" s="353">
        <v>26857</v>
      </c>
      <c r="D172" s="353">
        <v>18388</v>
      </c>
      <c r="E172"/>
      <c r="F172" s="15">
        <f t="shared" si="3"/>
        <v>8469</v>
      </c>
      <c r="G172" s="74">
        <f t="shared" si="2"/>
        <v>31.53367837062963</v>
      </c>
      <c r="H172" s="16" t="s">
        <v>60</v>
      </c>
      <c r="I172"/>
      <c r="J172"/>
      <c r="K172"/>
    </row>
    <row r="173" spans="1:11" x14ac:dyDescent="0.2">
      <c r="A173" s="352" t="s">
        <v>143</v>
      </c>
      <c r="B173" s="352" t="s">
        <v>42</v>
      </c>
      <c r="C173" s="353">
        <v>53999</v>
      </c>
      <c r="D173" s="353">
        <v>43125</v>
      </c>
      <c r="E173"/>
      <c r="F173" s="15">
        <f t="shared" si="3"/>
        <v>10874</v>
      </c>
      <c r="G173" s="74">
        <f t="shared" si="2"/>
        <v>20.137409952036148</v>
      </c>
      <c r="H173" s="16" t="s">
        <v>60</v>
      </c>
      <c r="I173"/>
      <c r="J173"/>
      <c r="K173"/>
    </row>
    <row r="174" spans="1:11" x14ac:dyDescent="0.2">
      <c r="A174" s="352" t="s">
        <v>143</v>
      </c>
      <c r="B174" s="352" t="s">
        <v>43</v>
      </c>
      <c r="C174" s="353">
        <v>61194</v>
      </c>
      <c r="D174" s="353">
        <v>46161</v>
      </c>
      <c r="E174"/>
      <c r="F174" s="15">
        <f t="shared" si="3"/>
        <v>15033</v>
      </c>
      <c r="G174" s="74">
        <f t="shared" si="2"/>
        <v>24.566133934699479</v>
      </c>
      <c r="H174" s="16" t="s">
        <v>60</v>
      </c>
      <c r="I174"/>
      <c r="J174"/>
      <c r="K174"/>
    </row>
    <row r="175" spans="1:11" x14ac:dyDescent="0.2">
      <c r="A175" s="352" t="s">
        <v>143</v>
      </c>
      <c r="B175" s="352" t="s">
        <v>44</v>
      </c>
      <c r="C175" s="353">
        <v>809617</v>
      </c>
      <c r="D175" s="353">
        <v>447397</v>
      </c>
      <c r="E175"/>
      <c r="F175" s="15">
        <f t="shared" si="3"/>
        <v>362220</v>
      </c>
      <c r="G175" s="74">
        <f t="shared" si="2"/>
        <v>44.739673203502392</v>
      </c>
      <c r="H175" s="16" t="s">
        <v>60</v>
      </c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 s="352" t="s">
        <v>112</v>
      </c>
      <c r="B177" s="352" t="s">
        <v>17</v>
      </c>
      <c r="C177" s="353">
        <v>16170148</v>
      </c>
      <c r="D177" s="353">
        <v>11527122</v>
      </c>
      <c r="E177"/>
      <c r="F177" s="15">
        <f t="shared" ref="F177:F233" si="4">C177-D177</f>
        <v>4643026</v>
      </c>
      <c r="G177" s="74">
        <f t="shared" ref="G177:G233" si="5">F177/C177*100</f>
        <v>28.713565268542997</v>
      </c>
      <c r="H177" s="16" t="s">
        <v>60</v>
      </c>
      <c r="I177"/>
      <c r="J177" s="16" t="s">
        <v>314</v>
      </c>
      <c r="K177"/>
    </row>
    <row r="178" spans="1:11" x14ac:dyDescent="0.2">
      <c r="A178" s="352" t="s">
        <v>112</v>
      </c>
      <c r="B178" s="352" t="s">
        <v>18</v>
      </c>
      <c r="C178" s="353">
        <v>387988</v>
      </c>
      <c r="D178" s="353">
        <v>387988</v>
      </c>
      <c r="E178"/>
      <c r="F178" s="15">
        <f t="shared" si="4"/>
        <v>0</v>
      </c>
      <c r="G178" s="354">
        <f t="shared" si="5"/>
        <v>0</v>
      </c>
      <c r="H178" s="147" t="s">
        <v>60</v>
      </c>
      <c r="I178"/>
      <c r="J178"/>
      <c r="K178"/>
    </row>
    <row r="179" spans="1:11" x14ac:dyDescent="0.2">
      <c r="A179" s="352" t="s">
        <v>112</v>
      </c>
      <c r="B179" s="352" t="s">
        <v>19</v>
      </c>
      <c r="C179" s="353">
        <v>69374</v>
      </c>
      <c r="D179" s="353">
        <v>41249</v>
      </c>
      <c r="E179"/>
      <c r="F179" s="15">
        <f t="shared" si="4"/>
        <v>28125</v>
      </c>
      <c r="G179" s="74">
        <f t="shared" si="5"/>
        <v>40.541124917115923</v>
      </c>
      <c r="H179" s="16" t="s">
        <v>60</v>
      </c>
      <c r="I179"/>
      <c r="J179" s="74">
        <f>(G178*C178+G192*C192+G203*C203)/(C178+C192+C203)</f>
        <v>2.8910749896946264</v>
      </c>
      <c r="K179" s="16" t="s">
        <v>60</v>
      </c>
    </row>
    <row r="180" spans="1:11" x14ac:dyDescent="0.2">
      <c r="A180" s="352" t="s">
        <v>112</v>
      </c>
      <c r="B180" s="352" t="s">
        <v>20</v>
      </c>
      <c r="C180" s="353">
        <v>186966</v>
      </c>
      <c r="D180" s="353">
        <v>139193</v>
      </c>
      <c r="E180"/>
      <c r="F180" s="15">
        <f t="shared" si="4"/>
        <v>47773</v>
      </c>
      <c r="G180" s="74">
        <f t="shared" si="5"/>
        <v>25.551704587999957</v>
      </c>
      <c r="H180" s="16" t="s">
        <v>60</v>
      </c>
      <c r="I180"/>
      <c r="J180"/>
      <c r="K180"/>
    </row>
    <row r="181" spans="1:11" x14ac:dyDescent="0.2">
      <c r="A181" s="352" t="s">
        <v>112</v>
      </c>
      <c r="B181" s="352" t="s">
        <v>21</v>
      </c>
      <c r="C181" s="353">
        <v>151786</v>
      </c>
      <c r="D181" s="353">
        <v>130386</v>
      </c>
      <c r="E181"/>
      <c r="F181" s="15">
        <f t="shared" si="4"/>
        <v>21400</v>
      </c>
      <c r="G181" s="74">
        <f t="shared" si="5"/>
        <v>14.098796990499782</v>
      </c>
      <c r="H181" s="16" t="s">
        <v>60</v>
      </c>
      <c r="I181"/>
      <c r="J181"/>
      <c r="K181"/>
    </row>
    <row r="182" spans="1:11" x14ac:dyDescent="0.2">
      <c r="A182" s="352" t="s">
        <v>112</v>
      </c>
      <c r="B182" s="352" t="s">
        <v>315</v>
      </c>
      <c r="C182" s="353">
        <v>2669700</v>
      </c>
      <c r="D182" s="353">
        <v>2360500</v>
      </c>
      <c r="E182"/>
      <c r="F182" s="15">
        <f t="shared" si="4"/>
        <v>309200</v>
      </c>
      <c r="G182" s="74">
        <f t="shared" si="5"/>
        <v>11.581825673296626</v>
      </c>
      <c r="H182" s="16" t="s">
        <v>60</v>
      </c>
      <c r="I182"/>
      <c r="J182"/>
      <c r="K182"/>
    </row>
    <row r="183" spans="1:11" x14ac:dyDescent="0.2">
      <c r="A183" s="352" t="s">
        <v>112</v>
      </c>
      <c r="B183" s="352" t="s">
        <v>22</v>
      </c>
      <c r="C183" s="353">
        <v>37308</v>
      </c>
      <c r="D183" s="353">
        <v>24400</v>
      </c>
      <c r="E183"/>
      <c r="F183" s="15">
        <f t="shared" si="4"/>
        <v>12908</v>
      </c>
      <c r="G183" s="74">
        <f t="shared" si="5"/>
        <v>34.598477538329583</v>
      </c>
      <c r="H183" s="16" t="s">
        <v>60</v>
      </c>
      <c r="I183"/>
      <c r="J183"/>
      <c r="K183"/>
    </row>
    <row r="184" spans="1:11" x14ac:dyDescent="0.2">
      <c r="A184" s="352" t="s">
        <v>112</v>
      </c>
      <c r="B184" s="352" t="s">
        <v>23</v>
      </c>
      <c r="C184" s="353">
        <v>149931</v>
      </c>
      <c r="D184" s="353">
        <v>121805</v>
      </c>
      <c r="E184"/>
      <c r="F184" s="15">
        <f t="shared" si="4"/>
        <v>28126</v>
      </c>
      <c r="G184" s="74">
        <f t="shared" si="5"/>
        <v>18.759295942800357</v>
      </c>
      <c r="H184" s="16" t="s">
        <v>60</v>
      </c>
      <c r="I184"/>
      <c r="J184"/>
      <c r="K184"/>
    </row>
    <row r="185" spans="1:11" x14ac:dyDescent="0.2">
      <c r="A185" s="352" t="s">
        <v>112</v>
      </c>
      <c r="B185" s="352" t="s">
        <v>24</v>
      </c>
      <c r="C185" s="353">
        <v>117090</v>
      </c>
      <c r="D185" s="353">
        <v>43150</v>
      </c>
      <c r="E185"/>
      <c r="F185" s="15">
        <f t="shared" si="4"/>
        <v>73940</v>
      </c>
      <c r="G185" s="74">
        <f t="shared" si="5"/>
        <v>63.148005807498507</v>
      </c>
      <c r="H185" s="16" t="s">
        <v>60</v>
      </c>
      <c r="I185"/>
      <c r="J185"/>
      <c r="K185"/>
    </row>
    <row r="186" spans="1:11" x14ac:dyDescent="0.2">
      <c r="A186" s="352" t="s">
        <v>112</v>
      </c>
      <c r="B186" s="352" t="s">
        <v>25</v>
      </c>
      <c r="C186" s="353">
        <v>1459581</v>
      </c>
      <c r="D186" s="353">
        <v>972690</v>
      </c>
      <c r="E186"/>
      <c r="F186" s="15">
        <f t="shared" si="4"/>
        <v>486891</v>
      </c>
      <c r="G186" s="74">
        <f t="shared" si="5"/>
        <v>33.358271997237566</v>
      </c>
      <c r="H186" s="16" t="s">
        <v>60</v>
      </c>
      <c r="I186"/>
      <c r="J186"/>
      <c r="K186"/>
    </row>
    <row r="187" spans="1:11" x14ac:dyDescent="0.2">
      <c r="A187" s="352" t="s">
        <v>112</v>
      </c>
      <c r="B187" s="352" t="s">
        <v>26</v>
      </c>
      <c r="C187" s="353">
        <v>2881265</v>
      </c>
      <c r="D187" s="353">
        <v>2036000</v>
      </c>
      <c r="E187"/>
      <c r="F187" s="15">
        <f t="shared" si="4"/>
        <v>845265</v>
      </c>
      <c r="G187" s="74">
        <f t="shared" si="5"/>
        <v>29.336593475435269</v>
      </c>
      <c r="H187" s="16" t="s">
        <v>60</v>
      </c>
      <c r="I187"/>
      <c r="J187"/>
      <c r="K187"/>
    </row>
    <row r="188" spans="1:11" x14ac:dyDescent="0.2">
      <c r="A188" s="352" t="s">
        <v>112</v>
      </c>
      <c r="B188" s="352" t="s">
        <v>28</v>
      </c>
      <c r="C188" s="353">
        <v>2266034</v>
      </c>
      <c r="D188" s="353">
        <v>1568405</v>
      </c>
      <c r="E188"/>
      <c r="F188" s="15">
        <f t="shared" si="4"/>
        <v>697629</v>
      </c>
      <c r="G188" s="74">
        <f t="shared" si="5"/>
        <v>30.786343011622954</v>
      </c>
      <c r="H188" s="16" t="s">
        <v>60</v>
      </c>
      <c r="I188"/>
      <c r="J188"/>
      <c r="K188"/>
    </row>
    <row r="189" spans="1:11" x14ac:dyDescent="0.2">
      <c r="A189" s="352" t="s">
        <v>112</v>
      </c>
      <c r="B189" s="352" t="s">
        <v>29</v>
      </c>
      <c r="C189" s="353">
        <v>17622</v>
      </c>
      <c r="D189" s="353">
        <v>5954</v>
      </c>
      <c r="E189"/>
      <c r="F189" s="15">
        <f t="shared" si="4"/>
        <v>11668</v>
      </c>
      <c r="G189" s="74">
        <f t="shared" si="5"/>
        <v>66.212688684598803</v>
      </c>
      <c r="H189" s="16" t="s">
        <v>60</v>
      </c>
      <c r="I189"/>
      <c r="J189"/>
      <c r="K189"/>
    </row>
    <row r="190" spans="1:11" x14ac:dyDescent="0.2">
      <c r="A190" s="352" t="s">
        <v>112</v>
      </c>
      <c r="B190" s="352" t="s">
        <v>30</v>
      </c>
      <c r="C190" s="353">
        <v>51967</v>
      </c>
      <c r="D190" s="353">
        <v>26833</v>
      </c>
      <c r="E190"/>
      <c r="F190" s="15">
        <f t="shared" si="4"/>
        <v>25134</v>
      </c>
      <c r="G190" s="74">
        <f t="shared" si="5"/>
        <v>48.365308753632114</v>
      </c>
      <c r="H190" s="16" t="s">
        <v>60</v>
      </c>
      <c r="I190"/>
      <c r="J190"/>
      <c r="K190"/>
    </row>
    <row r="191" spans="1:11" x14ac:dyDescent="0.2">
      <c r="A191" s="352" t="s">
        <v>112</v>
      </c>
      <c r="B191" s="352" t="s">
        <v>31</v>
      </c>
      <c r="C191" s="353">
        <v>63233</v>
      </c>
      <c r="D191" s="353">
        <v>46850</v>
      </c>
      <c r="E191"/>
      <c r="F191" s="15">
        <f t="shared" si="4"/>
        <v>16383</v>
      </c>
      <c r="G191" s="74">
        <f t="shared" si="5"/>
        <v>25.908939952240129</v>
      </c>
      <c r="H191" s="16" t="s">
        <v>60</v>
      </c>
      <c r="I191"/>
      <c r="J191"/>
      <c r="K191"/>
    </row>
    <row r="192" spans="1:11" x14ac:dyDescent="0.2">
      <c r="A192" s="352" t="s">
        <v>112</v>
      </c>
      <c r="B192" s="352" t="s">
        <v>32</v>
      </c>
      <c r="C192" s="353">
        <v>37325</v>
      </c>
      <c r="D192" s="353">
        <v>35660</v>
      </c>
      <c r="E192"/>
      <c r="F192" s="15">
        <f t="shared" si="4"/>
        <v>1665</v>
      </c>
      <c r="G192" s="354">
        <f t="shared" si="5"/>
        <v>4.4608171466845281</v>
      </c>
      <c r="H192" s="147" t="s">
        <v>60</v>
      </c>
      <c r="I192"/>
      <c r="J192"/>
      <c r="K192"/>
    </row>
    <row r="193" spans="1:11" x14ac:dyDescent="0.2">
      <c r="A193" s="352" t="s">
        <v>112</v>
      </c>
      <c r="B193" s="352" t="s">
        <v>33</v>
      </c>
      <c r="C193" s="353">
        <v>109641</v>
      </c>
      <c r="D193" s="353">
        <v>45172</v>
      </c>
      <c r="E193"/>
      <c r="F193" s="15">
        <f t="shared" si="4"/>
        <v>64469</v>
      </c>
      <c r="G193" s="74">
        <f t="shared" si="5"/>
        <v>58.800083910216074</v>
      </c>
      <c r="H193" s="16" t="s">
        <v>60</v>
      </c>
      <c r="I193"/>
      <c r="J193"/>
      <c r="K193"/>
    </row>
    <row r="194" spans="1:11" x14ac:dyDescent="0.2">
      <c r="A194" s="352" t="s">
        <v>112</v>
      </c>
      <c r="B194" s="352" t="s">
        <v>34</v>
      </c>
      <c r="C194" s="353">
        <v>10603</v>
      </c>
      <c r="D194" s="353">
        <v>2827</v>
      </c>
      <c r="E194"/>
      <c r="F194" s="15">
        <f t="shared" si="4"/>
        <v>7776</v>
      </c>
      <c r="G194" s="74">
        <f t="shared" si="5"/>
        <v>73.337734603414134</v>
      </c>
      <c r="H194" s="16" t="s">
        <v>60</v>
      </c>
      <c r="I194"/>
      <c r="J194"/>
      <c r="K194"/>
    </row>
    <row r="195" spans="1:11" x14ac:dyDescent="0.2">
      <c r="A195" s="352" t="s">
        <v>112</v>
      </c>
      <c r="B195" s="352" t="s">
        <v>35</v>
      </c>
      <c r="C195" s="353">
        <v>516000</v>
      </c>
      <c r="D195" s="353">
        <v>427000</v>
      </c>
      <c r="E195"/>
      <c r="F195" s="15">
        <f t="shared" si="4"/>
        <v>89000</v>
      </c>
      <c r="G195" s="74">
        <f t="shared" si="5"/>
        <v>17.248062015503876</v>
      </c>
      <c r="H195" s="16" t="s">
        <v>60</v>
      </c>
      <c r="I195"/>
      <c r="J195"/>
      <c r="K195"/>
    </row>
    <row r="196" spans="1:11" x14ac:dyDescent="0.2">
      <c r="A196" s="352" t="s">
        <v>112</v>
      </c>
      <c r="B196" s="352" t="s">
        <v>36</v>
      </c>
      <c r="C196" s="353">
        <v>271999</v>
      </c>
      <c r="D196" s="353">
        <v>234161</v>
      </c>
      <c r="E196"/>
      <c r="F196" s="15">
        <f t="shared" si="4"/>
        <v>37838</v>
      </c>
      <c r="G196" s="74">
        <f t="shared" si="5"/>
        <v>13.91108055544322</v>
      </c>
      <c r="H196" s="16" t="s">
        <v>60</v>
      </c>
      <c r="I196"/>
      <c r="J196"/>
      <c r="K196"/>
    </row>
    <row r="197" spans="1:11" x14ac:dyDescent="0.2">
      <c r="A197" s="352" t="s">
        <v>112</v>
      </c>
      <c r="B197" s="352" t="s">
        <v>37</v>
      </c>
      <c r="C197" s="353">
        <v>1078763</v>
      </c>
      <c r="D197" s="353">
        <v>495451</v>
      </c>
      <c r="E197"/>
      <c r="F197" s="15">
        <f t="shared" si="4"/>
        <v>583312</v>
      </c>
      <c r="G197" s="74">
        <f t="shared" si="5"/>
        <v>54.072303184295343</v>
      </c>
      <c r="H197" s="16" t="s">
        <v>60</v>
      </c>
      <c r="I197"/>
      <c r="J197"/>
      <c r="K197"/>
    </row>
    <row r="198" spans="1:11" x14ac:dyDescent="0.2">
      <c r="A198" s="352" t="s">
        <v>112</v>
      </c>
      <c r="B198" s="352" t="s">
        <v>38</v>
      </c>
      <c r="C198" s="353">
        <v>374360</v>
      </c>
      <c r="D198" s="353">
        <v>223327</v>
      </c>
      <c r="E198"/>
      <c r="F198" s="15">
        <f t="shared" si="4"/>
        <v>151033</v>
      </c>
      <c r="G198" s="74">
        <f t="shared" si="5"/>
        <v>40.344320974463081</v>
      </c>
      <c r="H198" s="16" t="s">
        <v>60</v>
      </c>
      <c r="I198"/>
      <c r="J198"/>
      <c r="K198"/>
    </row>
    <row r="199" spans="1:11" x14ac:dyDescent="0.2">
      <c r="A199" s="352" t="s">
        <v>112</v>
      </c>
      <c r="B199" s="352" t="s">
        <v>39</v>
      </c>
      <c r="C199" s="353">
        <v>139730</v>
      </c>
      <c r="D199" s="353">
        <v>83790</v>
      </c>
      <c r="E199"/>
      <c r="F199" s="15">
        <f t="shared" si="4"/>
        <v>55940</v>
      </c>
      <c r="G199" s="74">
        <f t="shared" si="5"/>
        <v>40.034351964502967</v>
      </c>
      <c r="H199" s="16" t="s">
        <v>60</v>
      </c>
      <c r="I199"/>
      <c r="J199"/>
      <c r="K199"/>
    </row>
    <row r="200" spans="1:11" x14ac:dyDescent="0.2">
      <c r="A200" s="352" t="s">
        <v>112</v>
      </c>
      <c r="B200" s="352" t="s">
        <v>40</v>
      </c>
      <c r="C200" s="353">
        <v>31146</v>
      </c>
      <c r="D200" s="353">
        <v>25632</v>
      </c>
      <c r="E200"/>
      <c r="F200" s="15">
        <f t="shared" si="4"/>
        <v>5514</v>
      </c>
      <c r="G200" s="74">
        <f t="shared" si="5"/>
        <v>17.703717973415529</v>
      </c>
      <c r="H200" s="16" t="s">
        <v>60</v>
      </c>
      <c r="I200"/>
      <c r="J200"/>
      <c r="K200"/>
    </row>
    <row r="201" spans="1:11" x14ac:dyDescent="0.2">
      <c r="A201" s="352" t="s">
        <v>112</v>
      </c>
      <c r="B201" s="352" t="s">
        <v>41</v>
      </c>
      <c r="C201" s="353">
        <v>81299</v>
      </c>
      <c r="D201" s="353">
        <v>51954</v>
      </c>
      <c r="E201"/>
      <c r="F201" s="15">
        <f t="shared" si="4"/>
        <v>29345</v>
      </c>
      <c r="G201" s="74">
        <f t="shared" si="5"/>
        <v>36.095154921954759</v>
      </c>
      <c r="H201" s="16" t="s">
        <v>60</v>
      </c>
      <c r="I201"/>
      <c r="J201"/>
      <c r="K201"/>
    </row>
    <row r="202" spans="1:11" x14ac:dyDescent="0.2">
      <c r="A202" s="352" t="s">
        <v>112</v>
      </c>
      <c r="B202" s="352" t="s">
        <v>42</v>
      </c>
      <c r="C202" s="353">
        <v>66448</v>
      </c>
      <c r="D202" s="353">
        <v>58393</v>
      </c>
      <c r="E202"/>
      <c r="F202" s="15">
        <f t="shared" si="4"/>
        <v>8055</v>
      </c>
      <c r="G202" s="74">
        <f t="shared" si="5"/>
        <v>12.122261016132915</v>
      </c>
      <c r="H202" s="16" t="s">
        <v>60</v>
      </c>
      <c r="I202"/>
      <c r="J202"/>
      <c r="K202"/>
    </row>
    <row r="203" spans="1:11" x14ac:dyDescent="0.2">
      <c r="A203" s="352" t="s">
        <v>112</v>
      </c>
      <c r="B203" s="352" t="s">
        <v>43</v>
      </c>
      <c r="C203" s="353">
        <v>203000</v>
      </c>
      <c r="D203" s="353">
        <v>186500</v>
      </c>
      <c r="E203"/>
      <c r="F203" s="15">
        <f t="shared" si="4"/>
        <v>16500</v>
      </c>
      <c r="G203" s="354">
        <f t="shared" si="5"/>
        <v>8.1280788177339893</v>
      </c>
      <c r="H203" s="147" t="s">
        <v>60</v>
      </c>
      <c r="I203"/>
      <c r="J203"/>
      <c r="K203"/>
    </row>
    <row r="204" spans="1:11" x14ac:dyDescent="0.2">
      <c r="A204" s="352" t="s">
        <v>112</v>
      </c>
      <c r="B204" s="352" t="s">
        <v>44</v>
      </c>
      <c r="C204" s="353">
        <v>2739989</v>
      </c>
      <c r="D204" s="353">
        <v>1751852</v>
      </c>
      <c r="E204"/>
      <c r="F204" s="15">
        <f t="shared" si="4"/>
        <v>988137</v>
      </c>
      <c r="G204" s="74">
        <f t="shared" si="5"/>
        <v>36.06353894121473</v>
      </c>
      <c r="H204" s="16" t="s">
        <v>60</v>
      </c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 s="352" t="s">
        <v>316</v>
      </c>
      <c r="B206" s="352" t="s">
        <v>17</v>
      </c>
      <c r="C206" s="355"/>
      <c r="D206" s="355"/>
      <c r="E206"/>
      <c r="F206" s="15"/>
      <c r="G206" s="74"/>
      <c r="H206" s="16"/>
      <c r="I206"/>
      <c r="J206" s="16" t="s">
        <v>314</v>
      </c>
      <c r="K206"/>
    </row>
    <row r="207" spans="1:11" x14ac:dyDescent="0.2">
      <c r="A207" s="352" t="s">
        <v>316</v>
      </c>
      <c r="B207" s="352" t="s">
        <v>18</v>
      </c>
      <c r="C207" s="353">
        <v>13364</v>
      </c>
      <c r="D207" s="353">
        <v>9529</v>
      </c>
      <c r="E207"/>
      <c r="F207" s="15">
        <f t="shared" si="4"/>
        <v>3835</v>
      </c>
      <c r="G207" s="74">
        <f t="shared" si="5"/>
        <v>28.696498054474706</v>
      </c>
      <c r="H207" s="16" t="s">
        <v>60</v>
      </c>
      <c r="I207"/>
      <c r="J207"/>
      <c r="K207"/>
    </row>
    <row r="208" spans="1:11" x14ac:dyDescent="0.2">
      <c r="A208" s="352" t="s">
        <v>316</v>
      </c>
      <c r="B208" s="352" t="s">
        <v>19</v>
      </c>
      <c r="C208" s="353">
        <v>5174</v>
      </c>
      <c r="D208" s="353">
        <v>0</v>
      </c>
      <c r="E208"/>
      <c r="F208" s="15">
        <f t="shared" si="4"/>
        <v>5174</v>
      </c>
      <c r="G208" s="74">
        <f t="shared" si="5"/>
        <v>100</v>
      </c>
      <c r="H208" s="16" t="s">
        <v>60</v>
      </c>
      <c r="I208"/>
      <c r="J208" s="74">
        <f>(G210*C210+G211*C211+G225*C225)/(C210+C211+C225)</f>
        <v>0.80188190735452947</v>
      </c>
      <c r="K208" s="16" t="s">
        <v>60</v>
      </c>
    </row>
    <row r="209" spans="1:11" x14ac:dyDescent="0.2">
      <c r="A209" s="352" t="s">
        <v>316</v>
      </c>
      <c r="B209" s="352" t="s">
        <v>20</v>
      </c>
      <c r="C209" s="353">
        <v>28515</v>
      </c>
      <c r="D209" s="353">
        <v>987</v>
      </c>
      <c r="E209"/>
      <c r="F209" s="15">
        <f t="shared" si="4"/>
        <v>27528</v>
      </c>
      <c r="G209" s="74">
        <f t="shared" si="5"/>
        <v>96.538663861125727</v>
      </c>
      <c r="H209" s="16" t="s">
        <v>60</v>
      </c>
      <c r="I209"/>
      <c r="J209"/>
      <c r="K209"/>
    </row>
    <row r="210" spans="1:11" x14ac:dyDescent="0.2">
      <c r="A210" s="352" t="s">
        <v>316</v>
      </c>
      <c r="B210" s="352" t="s">
        <v>21</v>
      </c>
      <c r="C210" s="353">
        <v>5946</v>
      </c>
      <c r="D210" s="353">
        <v>5768</v>
      </c>
      <c r="E210"/>
      <c r="F210" s="15">
        <f t="shared" si="4"/>
        <v>178</v>
      </c>
      <c r="G210" s="354">
        <f t="shared" si="5"/>
        <v>2.9936091490077361</v>
      </c>
      <c r="H210" s="147" t="s">
        <v>60</v>
      </c>
      <c r="I210"/>
      <c r="J210"/>
      <c r="K210"/>
    </row>
    <row r="211" spans="1:11" x14ac:dyDescent="0.2">
      <c r="A211" s="352" t="s">
        <v>316</v>
      </c>
      <c r="B211" s="352" t="s">
        <v>315</v>
      </c>
      <c r="C211" s="353">
        <v>21400</v>
      </c>
      <c r="D211" s="353">
        <v>21036</v>
      </c>
      <c r="E211"/>
      <c r="F211" s="15">
        <f t="shared" si="4"/>
        <v>364</v>
      </c>
      <c r="G211" s="354">
        <f t="shared" si="5"/>
        <v>1.7009345794392523</v>
      </c>
      <c r="H211" s="147" t="s">
        <v>60</v>
      </c>
      <c r="I211"/>
      <c r="J211"/>
      <c r="K211"/>
    </row>
    <row r="212" spans="1:11" x14ac:dyDescent="0.2">
      <c r="A212" s="352" t="s">
        <v>316</v>
      </c>
      <c r="B212" s="352" t="s">
        <v>22</v>
      </c>
      <c r="C212" s="353">
        <v>0</v>
      </c>
      <c r="D212" s="353">
        <v>0</v>
      </c>
      <c r="E212"/>
      <c r="F212" s="15"/>
      <c r="G212" s="74"/>
      <c r="H212" s="16"/>
      <c r="I212"/>
      <c r="J212"/>
      <c r="K212"/>
    </row>
    <row r="213" spans="1:11" x14ac:dyDescent="0.2">
      <c r="A213" s="352" t="s">
        <v>316</v>
      </c>
      <c r="B213" s="352" t="s">
        <v>23</v>
      </c>
      <c r="C213" s="353">
        <v>86955</v>
      </c>
      <c r="D213" s="353">
        <v>65454</v>
      </c>
      <c r="E213"/>
      <c r="F213" s="15">
        <f t="shared" si="4"/>
        <v>21501</v>
      </c>
      <c r="G213" s="74">
        <f t="shared" si="5"/>
        <v>24.726582715197516</v>
      </c>
      <c r="H213" s="16" t="s">
        <v>60</v>
      </c>
      <c r="I213"/>
      <c r="J213"/>
      <c r="K213"/>
    </row>
    <row r="214" spans="1:11" x14ac:dyDescent="0.2">
      <c r="A214" s="352" t="s">
        <v>316</v>
      </c>
      <c r="B214" s="352" t="s">
        <v>24</v>
      </c>
      <c r="C214" s="355" t="s">
        <v>45</v>
      </c>
      <c r="D214" s="353">
        <v>0</v>
      </c>
      <c r="E214"/>
      <c r="F214" s="15"/>
      <c r="G214" s="74"/>
      <c r="H214" s="16"/>
      <c r="I214"/>
      <c r="J214"/>
      <c r="K214"/>
    </row>
    <row r="215" spans="1:11" x14ac:dyDescent="0.2">
      <c r="A215" s="352" t="s">
        <v>316</v>
      </c>
      <c r="B215" s="352" t="s">
        <v>25</v>
      </c>
      <c r="C215" s="353">
        <v>13151</v>
      </c>
      <c r="D215" s="353">
        <v>327</v>
      </c>
      <c r="E215"/>
      <c r="F215" s="15">
        <f t="shared" si="4"/>
        <v>12824</v>
      </c>
      <c r="G215" s="74">
        <f t="shared" si="5"/>
        <v>97.513497072465967</v>
      </c>
      <c r="H215" s="16" t="s">
        <v>60</v>
      </c>
      <c r="I215"/>
      <c r="J215"/>
      <c r="K215"/>
    </row>
    <row r="216" spans="1:11" x14ac:dyDescent="0.2">
      <c r="A216" s="352" t="s">
        <v>316</v>
      </c>
      <c r="B216" s="352" t="s">
        <v>26</v>
      </c>
      <c r="C216" s="353">
        <v>5122</v>
      </c>
      <c r="D216" s="353">
        <v>0</v>
      </c>
      <c r="E216"/>
      <c r="F216" s="15">
        <f t="shared" si="4"/>
        <v>5122</v>
      </c>
      <c r="G216" s="74">
        <f t="shared" si="5"/>
        <v>100</v>
      </c>
      <c r="H216" s="16" t="s">
        <v>60</v>
      </c>
      <c r="I216"/>
      <c r="J216"/>
      <c r="K216"/>
    </row>
    <row r="217" spans="1:11" x14ac:dyDescent="0.2">
      <c r="A217" s="352" t="s">
        <v>316</v>
      </c>
      <c r="B217" s="352" t="s">
        <v>28</v>
      </c>
      <c r="C217" s="353">
        <v>0</v>
      </c>
      <c r="D217" s="353">
        <v>0</v>
      </c>
      <c r="E217"/>
      <c r="F217" s="15"/>
      <c r="G217" s="74"/>
      <c r="H217" s="16"/>
      <c r="I217"/>
      <c r="J217"/>
      <c r="K217"/>
    </row>
    <row r="218" spans="1:11" x14ac:dyDescent="0.2">
      <c r="A218" s="352" t="s">
        <v>316</v>
      </c>
      <c r="B218" s="352" t="s">
        <v>29</v>
      </c>
      <c r="C218" s="353">
        <v>5176</v>
      </c>
      <c r="D218" s="353">
        <v>133</v>
      </c>
      <c r="E218"/>
      <c r="F218" s="15">
        <f t="shared" si="4"/>
        <v>5043</v>
      </c>
      <c r="G218" s="74">
        <f t="shared" si="5"/>
        <v>97.430448222565687</v>
      </c>
      <c r="H218" s="16" t="s">
        <v>60</v>
      </c>
      <c r="I218"/>
      <c r="J218"/>
      <c r="K218"/>
    </row>
    <row r="219" spans="1:11" x14ac:dyDescent="0.2">
      <c r="A219" s="352" t="s">
        <v>316</v>
      </c>
      <c r="B219" s="352" t="s">
        <v>30</v>
      </c>
      <c r="C219" s="353">
        <v>0</v>
      </c>
      <c r="D219" s="353">
        <v>0</v>
      </c>
      <c r="E219"/>
      <c r="F219" s="15"/>
      <c r="G219" s="74"/>
      <c r="H219" s="16"/>
      <c r="I219"/>
      <c r="J219"/>
      <c r="K219"/>
    </row>
    <row r="220" spans="1:11" x14ac:dyDescent="0.2">
      <c r="A220" s="352" t="s">
        <v>316</v>
      </c>
      <c r="B220" s="352" t="s">
        <v>31</v>
      </c>
      <c r="C220" s="353">
        <v>7550</v>
      </c>
      <c r="D220" s="353">
        <v>233</v>
      </c>
      <c r="E220"/>
      <c r="F220" s="15">
        <f t="shared" si="4"/>
        <v>7317</v>
      </c>
      <c r="G220" s="74">
        <f t="shared" si="5"/>
        <v>96.913907284768214</v>
      </c>
      <c r="H220" s="16" t="s">
        <v>60</v>
      </c>
      <c r="I220"/>
      <c r="J220"/>
      <c r="K220"/>
    </row>
    <row r="221" spans="1:11" x14ac:dyDescent="0.2">
      <c r="A221" s="352" t="s">
        <v>316</v>
      </c>
      <c r="B221" s="352" t="s">
        <v>32</v>
      </c>
      <c r="C221" s="353">
        <v>3136</v>
      </c>
      <c r="D221" s="353">
        <v>2584</v>
      </c>
      <c r="E221"/>
      <c r="F221" s="15">
        <f t="shared" si="4"/>
        <v>552</v>
      </c>
      <c r="G221" s="74">
        <f t="shared" si="5"/>
        <v>17.602040816326532</v>
      </c>
      <c r="H221" s="16" t="s">
        <v>60</v>
      </c>
      <c r="I221"/>
      <c r="J221"/>
      <c r="K221"/>
    </row>
    <row r="222" spans="1:11" x14ac:dyDescent="0.2">
      <c r="A222" s="352" t="s">
        <v>316</v>
      </c>
      <c r="B222" s="352" t="s">
        <v>33</v>
      </c>
      <c r="C222" s="353">
        <v>1552</v>
      </c>
      <c r="D222" s="353">
        <v>788</v>
      </c>
      <c r="E222"/>
      <c r="F222" s="15">
        <f t="shared" si="4"/>
        <v>764</v>
      </c>
      <c r="G222" s="74">
        <f t="shared" si="5"/>
        <v>49.226804123711347</v>
      </c>
      <c r="H222" s="16" t="s">
        <v>60</v>
      </c>
      <c r="I222"/>
      <c r="J222"/>
      <c r="K222"/>
    </row>
    <row r="223" spans="1:11" x14ac:dyDescent="0.2">
      <c r="A223" s="352" t="s">
        <v>316</v>
      </c>
      <c r="B223" s="352" t="s">
        <v>34</v>
      </c>
      <c r="C223" s="353">
        <v>326</v>
      </c>
      <c r="D223" s="353">
        <v>28</v>
      </c>
      <c r="E223"/>
      <c r="F223" s="15">
        <f t="shared" si="4"/>
        <v>298</v>
      </c>
      <c r="G223" s="74">
        <f t="shared" si="5"/>
        <v>91.411042944785279</v>
      </c>
      <c r="H223" s="16" t="s">
        <v>60</v>
      </c>
      <c r="I223"/>
      <c r="J223"/>
      <c r="K223"/>
    </row>
    <row r="224" spans="1:11" x14ac:dyDescent="0.2">
      <c r="A224" s="352" t="s">
        <v>316</v>
      </c>
      <c r="B224" s="352" t="s">
        <v>35</v>
      </c>
      <c r="C224" s="353">
        <v>9000</v>
      </c>
      <c r="D224" s="353">
        <v>0</v>
      </c>
      <c r="E224"/>
      <c r="F224" s="15">
        <f t="shared" si="4"/>
        <v>9000</v>
      </c>
      <c r="G224" s="74">
        <f t="shared" si="5"/>
        <v>100</v>
      </c>
      <c r="H224" s="16" t="s">
        <v>60</v>
      </c>
      <c r="I224"/>
      <c r="J224"/>
      <c r="K224"/>
    </row>
    <row r="225" spans="1:11" x14ac:dyDescent="0.2">
      <c r="A225" s="352" t="s">
        <v>316</v>
      </c>
      <c r="B225" s="352" t="s">
        <v>36</v>
      </c>
      <c r="C225" s="353">
        <v>40245</v>
      </c>
      <c r="D225" s="353">
        <v>40245</v>
      </c>
      <c r="E225"/>
      <c r="F225" s="15">
        <f t="shared" si="4"/>
        <v>0</v>
      </c>
      <c r="G225" s="354">
        <f t="shared" si="5"/>
        <v>0</v>
      </c>
      <c r="H225" s="147" t="s">
        <v>60</v>
      </c>
      <c r="I225"/>
      <c r="J225"/>
      <c r="K225"/>
    </row>
    <row r="226" spans="1:11" x14ac:dyDescent="0.2">
      <c r="A226" s="352" t="s">
        <v>316</v>
      </c>
      <c r="B226" s="352" t="s">
        <v>37</v>
      </c>
      <c r="C226" s="353">
        <v>0</v>
      </c>
      <c r="D226" s="353">
        <v>0</v>
      </c>
      <c r="E226"/>
      <c r="F226" s="15"/>
      <c r="G226" s="74"/>
      <c r="H226" s="16"/>
      <c r="I226"/>
      <c r="J226"/>
      <c r="K226"/>
    </row>
    <row r="227" spans="1:11" x14ac:dyDescent="0.2">
      <c r="A227" s="352" t="s">
        <v>316</v>
      </c>
      <c r="B227" s="352" t="s">
        <v>38</v>
      </c>
      <c r="C227" s="353">
        <v>0</v>
      </c>
      <c r="D227" s="353">
        <v>0</v>
      </c>
      <c r="E227"/>
      <c r="F227" s="15"/>
      <c r="G227" s="74"/>
      <c r="H227" s="16"/>
      <c r="I227"/>
      <c r="J227"/>
      <c r="K227"/>
    </row>
    <row r="228" spans="1:11" x14ac:dyDescent="0.2">
      <c r="A228" s="352" t="s">
        <v>316</v>
      </c>
      <c r="B228" s="352" t="s">
        <v>39</v>
      </c>
      <c r="C228" s="353">
        <v>100</v>
      </c>
      <c r="D228" s="353">
        <v>0</v>
      </c>
      <c r="E228"/>
      <c r="F228" s="15">
        <f t="shared" si="4"/>
        <v>100</v>
      </c>
      <c r="G228" s="74">
        <f t="shared" si="5"/>
        <v>100</v>
      </c>
      <c r="H228" s="16" t="s">
        <v>60</v>
      </c>
      <c r="I228"/>
      <c r="J228"/>
      <c r="K228"/>
    </row>
    <row r="229" spans="1:11" x14ac:dyDescent="0.2">
      <c r="A229" s="352" t="s">
        <v>316</v>
      </c>
      <c r="B229" s="352" t="s">
        <v>40</v>
      </c>
      <c r="C229" s="353">
        <v>1409</v>
      </c>
      <c r="D229" s="353">
        <v>1166</v>
      </c>
      <c r="E229"/>
      <c r="F229" s="15">
        <f t="shared" si="4"/>
        <v>243</v>
      </c>
      <c r="G229" s="74">
        <f t="shared" si="5"/>
        <v>17.246273953158266</v>
      </c>
      <c r="H229" s="16" t="s">
        <v>60</v>
      </c>
      <c r="I229"/>
      <c r="J229"/>
      <c r="K229"/>
    </row>
    <row r="230" spans="1:11" x14ac:dyDescent="0.2">
      <c r="A230" s="352" t="s">
        <v>316</v>
      </c>
      <c r="B230" s="352" t="s">
        <v>41</v>
      </c>
      <c r="C230" s="353">
        <v>308</v>
      </c>
      <c r="D230" s="353">
        <v>137</v>
      </c>
      <c r="E230"/>
      <c r="F230" s="15">
        <f t="shared" si="4"/>
        <v>171</v>
      </c>
      <c r="G230" s="74">
        <f t="shared" si="5"/>
        <v>55.519480519480524</v>
      </c>
      <c r="H230" s="16" t="s">
        <v>60</v>
      </c>
      <c r="I230"/>
      <c r="J230"/>
      <c r="K230"/>
    </row>
    <row r="231" spans="1:11" x14ac:dyDescent="0.2">
      <c r="A231" s="352" t="s">
        <v>316</v>
      </c>
      <c r="B231" s="352" t="s">
        <v>42</v>
      </c>
      <c r="C231" s="353">
        <v>1085</v>
      </c>
      <c r="D231" s="353">
        <v>0</v>
      </c>
      <c r="E231"/>
      <c r="F231" s="15">
        <f t="shared" si="4"/>
        <v>1085</v>
      </c>
      <c r="G231" s="74">
        <f t="shared" si="5"/>
        <v>100</v>
      </c>
      <c r="H231" s="16" t="s">
        <v>60</v>
      </c>
      <c r="I231"/>
      <c r="J231"/>
      <c r="K231"/>
    </row>
    <row r="232" spans="1:11" x14ac:dyDescent="0.2">
      <c r="A232" s="352" t="s">
        <v>316</v>
      </c>
      <c r="B232" s="352" t="s">
        <v>43</v>
      </c>
      <c r="C232" s="353">
        <v>12820</v>
      </c>
      <c r="D232" s="353">
        <v>0</v>
      </c>
      <c r="E232"/>
      <c r="F232" s="15">
        <f t="shared" si="4"/>
        <v>12820</v>
      </c>
      <c r="G232" s="74">
        <f t="shared" si="5"/>
        <v>100</v>
      </c>
      <c r="H232" s="16" t="s">
        <v>60</v>
      </c>
      <c r="I232"/>
      <c r="J232"/>
      <c r="K232"/>
    </row>
    <row r="233" spans="1:11" x14ac:dyDescent="0.2">
      <c r="A233" s="352" t="s">
        <v>316</v>
      </c>
      <c r="B233" s="352" t="s">
        <v>44</v>
      </c>
      <c r="C233" s="353">
        <v>22443</v>
      </c>
      <c r="D233" s="353">
        <v>0</v>
      </c>
      <c r="E233"/>
      <c r="F233" s="15">
        <f t="shared" si="4"/>
        <v>22443</v>
      </c>
      <c r="G233" s="74">
        <f t="shared" si="5"/>
        <v>100</v>
      </c>
      <c r="H233" s="16" t="s">
        <v>60</v>
      </c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 s="1" t="s">
        <v>298</v>
      </c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 s="1" t="s">
        <v>45</v>
      </c>
      <c r="B236" s="1" t="s">
        <v>299</v>
      </c>
      <c r="C236"/>
      <c r="D236"/>
      <c r="E236"/>
      <c r="F236"/>
      <c r="G236"/>
      <c r="H236"/>
      <c r="I236"/>
      <c r="J236"/>
      <c r="K236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B21" sqref="B21"/>
    </sheetView>
  </sheetViews>
  <sheetFormatPr defaultRowHeight="14.25" x14ac:dyDescent="0.2"/>
  <cols>
    <col min="2" max="2" width="17.375" bestFit="1" customWidth="1"/>
    <col min="3" max="3" width="7.625" bestFit="1" customWidth="1"/>
    <col min="4" max="4" width="18" bestFit="1" customWidth="1"/>
    <col min="5" max="5" width="15.875" bestFit="1" customWidth="1"/>
  </cols>
  <sheetData>
    <row r="2" spans="2:5" x14ac:dyDescent="0.2">
      <c r="B2" s="16" t="s">
        <v>329</v>
      </c>
    </row>
    <row r="4" spans="2:5" x14ac:dyDescent="0.2">
      <c r="B4" s="357" t="s">
        <v>317</v>
      </c>
      <c r="C4" s="357" t="s">
        <v>318</v>
      </c>
      <c r="D4" s="357" t="s">
        <v>319</v>
      </c>
      <c r="E4" s="357" t="s">
        <v>320</v>
      </c>
    </row>
    <row r="5" spans="2:5" x14ac:dyDescent="0.2">
      <c r="B5" s="358" t="s">
        <v>321</v>
      </c>
      <c r="C5" s="358" t="s">
        <v>322</v>
      </c>
      <c r="D5" s="358" t="s">
        <v>323</v>
      </c>
      <c r="E5" s="359">
        <v>4443</v>
      </c>
    </row>
    <row r="6" spans="2:5" x14ac:dyDescent="0.2">
      <c r="B6" s="358" t="s">
        <v>321</v>
      </c>
      <c r="C6" s="358" t="s">
        <v>322</v>
      </c>
      <c r="D6" s="358" t="s">
        <v>324</v>
      </c>
      <c r="E6" s="359">
        <v>2400</v>
      </c>
    </row>
    <row r="7" spans="2:5" x14ac:dyDescent="0.2">
      <c r="B7" s="358" t="s">
        <v>321</v>
      </c>
      <c r="C7" s="358" t="s">
        <v>322</v>
      </c>
      <c r="D7" s="358" t="s">
        <v>325</v>
      </c>
      <c r="E7" s="359">
        <v>5440</v>
      </c>
    </row>
    <row r="8" spans="2:5" x14ac:dyDescent="0.2">
      <c r="B8" s="358" t="s">
        <v>321</v>
      </c>
      <c r="C8" s="358" t="s">
        <v>326</v>
      </c>
      <c r="D8" s="358" t="s">
        <v>323</v>
      </c>
      <c r="E8" s="359">
        <v>2121</v>
      </c>
    </row>
    <row r="9" spans="2:5" x14ac:dyDescent="0.2">
      <c r="B9" s="358" t="s">
        <v>321</v>
      </c>
      <c r="C9" s="358" t="s">
        <v>326</v>
      </c>
      <c r="D9" s="358" t="s">
        <v>324</v>
      </c>
      <c r="E9" s="359">
        <v>85</v>
      </c>
    </row>
    <row r="10" spans="2:5" x14ac:dyDescent="0.2">
      <c r="B10" s="358" t="s">
        <v>321</v>
      </c>
      <c r="C10" s="358" t="s">
        <v>326</v>
      </c>
      <c r="D10" s="358" t="s">
        <v>325</v>
      </c>
      <c r="E10" s="359">
        <v>496</v>
      </c>
    </row>
    <row r="11" spans="2:5" x14ac:dyDescent="0.2">
      <c r="B11" s="358" t="s">
        <v>321</v>
      </c>
      <c r="C11" s="358" t="s">
        <v>327</v>
      </c>
      <c r="D11" s="358" t="s">
        <v>323</v>
      </c>
      <c r="E11" s="359">
        <v>14618</v>
      </c>
    </row>
    <row r="12" spans="2:5" x14ac:dyDescent="0.2">
      <c r="B12" s="358" t="s">
        <v>321</v>
      </c>
      <c r="C12" s="358" t="s">
        <v>327</v>
      </c>
      <c r="D12" s="358" t="s">
        <v>324</v>
      </c>
      <c r="E12" s="359">
        <v>598</v>
      </c>
    </row>
    <row r="13" spans="2:5" x14ac:dyDescent="0.2">
      <c r="B13" s="358" t="s">
        <v>321</v>
      </c>
      <c r="C13" s="358" t="s">
        <v>327</v>
      </c>
      <c r="D13" s="358" t="s">
        <v>325</v>
      </c>
      <c r="E13" s="359">
        <v>1107</v>
      </c>
    </row>
    <row r="14" spans="2:5" x14ac:dyDescent="0.2">
      <c r="B14" s="358" t="s">
        <v>321</v>
      </c>
      <c r="C14" s="358" t="s">
        <v>328</v>
      </c>
      <c r="D14" s="358" t="s">
        <v>323</v>
      </c>
      <c r="E14" s="359">
        <v>25654</v>
      </c>
    </row>
    <row r="15" spans="2:5" x14ac:dyDescent="0.2">
      <c r="B15" s="358" t="s">
        <v>321</v>
      </c>
      <c r="C15" s="358" t="s">
        <v>328</v>
      </c>
      <c r="D15" s="358" t="s">
        <v>324</v>
      </c>
      <c r="E15" s="359">
        <v>58925</v>
      </c>
    </row>
    <row r="16" spans="2:5" x14ac:dyDescent="0.2">
      <c r="B16" s="358" t="s">
        <v>321</v>
      </c>
      <c r="C16" s="358" t="s">
        <v>328</v>
      </c>
      <c r="D16" s="358" t="s">
        <v>325</v>
      </c>
      <c r="E16" s="359">
        <v>28324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total generation</vt:lpstr>
      <vt:lpstr>decoupling</vt:lpstr>
      <vt:lpstr>MSW recycling</vt:lpstr>
      <vt:lpstr>MSW paper glass metal plastics</vt:lpstr>
      <vt:lpstr>packaging recycling</vt:lpstr>
      <vt:lpstr>alu steel packaging</vt:lpstr>
      <vt:lpstr>landfill</vt:lpstr>
      <vt:lpstr>plastics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Acoleyen, Mike</dc:creator>
  <cp:lastModifiedBy>Van Acoleyen, Mike</cp:lastModifiedBy>
  <dcterms:created xsi:type="dcterms:W3CDTF">2013-11-22T14:11:33Z</dcterms:created>
  <dcterms:modified xsi:type="dcterms:W3CDTF">2014-03-13T14:13:09Z</dcterms:modified>
</cp:coreProperties>
</file>